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uillermovalleschavez/Desktop/Wisesheets/Templates/"/>
    </mc:Choice>
  </mc:AlternateContent>
  <xr:revisionPtr revIDLastSave="0" documentId="13_ncr:1_{B01E8C46-6A19-7145-AD19-00F1B54D3105}" xr6:coauthVersionLast="47" xr6:coauthVersionMax="47" xr10:uidLastSave="{00000000-0000-0000-0000-000000000000}"/>
  <bookViews>
    <workbookView xWindow="4300" yWindow="640" windowWidth="27980" windowHeight="18600" activeTab="2" xr2:uid="{9ED72919-F244-2F41-9F43-D76D02C1DD22}"/>
  </bookViews>
  <sheets>
    <sheet name="Company Comparison" sheetId="8" r:id="rId1"/>
    <sheet name="Statements Model" sheetId="1" r:id="rId2"/>
    <sheet name="DCF" sheetId="9" r:id="rId3"/>
  </sheets>
  <externalReferences>
    <externalReference r:id="rId4"/>
  </externalReferences>
  <definedNames>
    <definedName name="_xlchart.v1.0" hidden="1">DCF!$B$18:$B$20</definedName>
    <definedName name="_xlchart.v1.1" hidden="1">DCF!$D$18:$D$20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9" l="1"/>
  <c r="M12" i="9"/>
  <c r="C38" i="1" l="1" a="1"/>
  <c r="C38" i="1" s="1"/>
  <c r="C34" i="1" a="1"/>
  <c r="C34" i="1" s="1"/>
  <c r="D33" i="1"/>
  <c r="E33" i="1"/>
  <c r="C33" i="1"/>
  <c r="C29" i="1" a="1"/>
  <c r="C29" i="1" s="1"/>
  <c r="C26" i="1" a="1"/>
  <c r="C26" i="1" s="1"/>
  <c r="D25" i="1"/>
  <c r="E25" i="1"/>
  <c r="C24" i="1" a="1"/>
  <c r="C24" i="1" s="1"/>
  <c r="C25" i="1" s="1"/>
  <c r="C20" i="1" a="1"/>
  <c r="C20" i="1" s="1"/>
  <c r="C17" i="1" a="1"/>
  <c r="C17" i="1" s="1"/>
  <c r="D16" i="1"/>
  <c r="E16" i="1"/>
  <c r="C16" i="1"/>
  <c r="C15" i="1" a="1"/>
  <c r="C15" i="1" s="1"/>
  <c r="C12" i="1" a="1"/>
  <c r="C12" i="1" s="1"/>
  <c r="C103" i="1" a="1"/>
  <c r="C103" i="1" s="1"/>
  <c r="C97" i="1" a="1"/>
  <c r="C97" i="1" s="1"/>
  <c r="C92" i="1" a="1"/>
  <c r="C92" i="1" s="1"/>
  <c r="C88" i="1" a="1"/>
  <c r="C88" i="1" s="1"/>
  <c r="C85" i="1" a="1"/>
  <c r="C85" i="1" s="1"/>
  <c r="C82" i="1" a="1"/>
  <c r="C82" i="1" s="1"/>
  <c r="C78" i="1" a="1"/>
  <c r="C78" i="1" s="1"/>
  <c r="C76" i="1" a="1"/>
  <c r="C76" i="1" s="1"/>
  <c r="C71" i="1" a="1"/>
  <c r="C71" i="1" s="1"/>
  <c r="C62" i="1" a="1"/>
  <c r="C62" i="1" s="1"/>
  <c r="C59" i="1" a="1"/>
  <c r="C59" i="1" s="1"/>
  <c r="C52" i="1" a="1"/>
  <c r="C52" i="1" s="1"/>
  <c r="C143" i="1" a="1"/>
  <c r="C143" i="1" s="1"/>
  <c r="C136" i="1" a="1"/>
  <c r="C136" i="1" s="1"/>
  <c r="C129" i="1" a="1"/>
  <c r="C129" i="1" s="1"/>
  <c r="C122" i="1" a="1"/>
  <c r="C122" i="1" s="1"/>
  <c r="C112" i="1" a="1"/>
  <c r="C112" i="1" s="1"/>
  <c r="D111" i="1"/>
  <c r="E111" i="1"/>
  <c r="C109" i="1" a="1"/>
  <c r="C109" i="1" s="1"/>
  <c r="F7" i="8" a="1"/>
  <c r="F7" i="8" s="1"/>
  <c r="E7" i="8" a="1"/>
  <c r="E7" i="8" s="1"/>
  <c r="C8" i="8" a="1"/>
  <c r="C8" i="8" s="1"/>
  <c r="C7" i="8" a="1"/>
  <c r="C7" i="8" s="1"/>
  <c r="D7" i="8" a="1"/>
  <c r="D7" i="8" s="1"/>
  <c r="D8" i="8" a="1"/>
  <c r="D8" i="8" s="1"/>
  <c r="C10" i="8" a="1"/>
  <c r="C10" i="8" s="1"/>
  <c r="D10" i="8" a="1"/>
  <c r="D10" i="8" s="1"/>
  <c r="E10" i="8" a="1"/>
  <c r="E10" i="8" s="1"/>
  <c r="F10" i="8" a="1"/>
  <c r="F10" i="8" s="1"/>
  <c r="D87" i="1"/>
  <c r="E87" i="1"/>
  <c r="D81" i="1"/>
  <c r="E81" i="1"/>
  <c r="D58" i="1"/>
  <c r="E58" i="1"/>
  <c r="C57" i="1" a="1"/>
  <c r="C57" i="1" s="1"/>
  <c r="C23" i="1" l="1"/>
  <c r="E23" i="1"/>
  <c r="D23" i="1"/>
  <c r="D142" i="1"/>
  <c r="D56" i="1"/>
  <c r="E56" i="1"/>
  <c r="E142" i="1"/>
  <c r="D77" i="1"/>
  <c r="E77" i="1"/>
  <c r="C44" i="1" a="1"/>
  <c r="C44" i="1" s="1"/>
  <c r="C77" i="1" l="1"/>
  <c r="C111" i="1" l="1"/>
  <c r="C87" i="1"/>
  <c r="C58" i="1"/>
  <c r="C81" i="1"/>
  <c r="C142" i="1"/>
  <c r="C56" i="1"/>
  <c r="E8" i="8" a="1"/>
  <c r="E8" i="8" s="1"/>
  <c r="F8" i="8" a="1"/>
  <c r="F8" i="8" s="1"/>
  <c r="C6" i="8" a="1"/>
  <c r="C6" i="8" s="1"/>
  <c r="E3" i="9" l="1"/>
  <c r="P16" i="9" a="1"/>
  <c r="P16" i="9" s="1"/>
  <c r="P7" i="9" a="1"/>
  <c r="P7" i="9" s="1"/>
  <c r="P8" i="9" a="1"/>
  <c r="P8" i="9" s="1"/>
  <c r="M20" i="9" a="1"/>
  <c r="M20" i="9" s="1"/>
  <c r="D18" i="9" s="1"/>
  <c r="E2" i="9" a="1"/>
  <c r="E2" i="9" s="1"/>
  <c r="G134" i="1"/>
  <c r="H134" i="1"/>
  <c r="I134" i="1"/>
  <c r="J134" i="1"/>
  <c r="F134" i="1"/>
  <c r="C6" i="1" a="1"/>
  <c r="C6" i="1" s="1"/>
  <c r="C5" i="1" a="1"/>
  <c r="C5" i="1" s="1"/>
  <c r="P10" i="9" l="1"/>
  <c r="P13" i="9" s="1"/>
  <c r="D9" i="8" a="1"/>
  <c r="D9" i="8" s="1"/>
  <c r="E9" i="8" a="1"/>
  <c r="E9" i="8" s="1"/>
  <c r="F9" i="8" a="1"/>
  <c r="F9" i="8" s="1"/>
  <c r="C9" i="8" a="1"/>
  <c r="C9" i="8" s="1"/>
  <c r="D6" i="8" a="1"/>
  <c r="D6" i="8" s="1"/>
  <c r="E6" i="8" a="1"/>
  <c r="E6" i="8" s="1"/>
  <c r="F6" i="8" a="1"/>
  <c r="F6" i="8" s="1"/>
  <c r="F107" i="1"/>
  <c r="F48" i="1"/>
  <c r="F10" i="1"/>
  <c r="E10" i="1" s="1"/>
  <c r="D6" i="9" l="1"/>
  <c r="E107" i="1"/>
  <c r="E6" i="9"/>
  <c r="G107" i="1"/>
  <c r="D107" i="1"/>
  <c r="F139" i="1"/>
  <c r="F113" i="1"/>
  <c r="G113" i="1" s="1"/>
  <c r="H113" i="1" s="1"/>
  <c r="I113" i="1" s="1"/>
  <c r="J113" i="1" s="1"/>
  <c r="D10" i="1"/>
  <c r="G10" i="1"/>
  <c r="H10" i="1" s="1"/>
  <c r="I10" i="1" s="1"/>
  <c r="J10" i="1" s="1"/>
  <c r="P18" i="9" l="1" a="1"/>
  <c r="P18" i="9" s="1"/>
  <c r="P21" i="9" s="1"/>
  <c r="P17" i="9" a="1"/>
  <c r="P17" i="9" s="1"/>
  <c r="H107" i="1"/>
  <c r="F6" i="9"/>
  <c r="C107" i="1"/>
  <c r="C10" i="1"/>
  <c r="P19" i="9" l="1"/>
  <c r="P24" i="9" s="1"/>
  <c r="M7" i="9" s="1"/>
  <c r="I107" i="1"/>
  <c r="G6" i="9"/>
  <c r="H142" i="1"/>
  <c r="F21" i="1"/>
  <c r="F23" i="1"/>
  <c r="G23" i="1" l="1"/>
  <c r="H23" i="1" s="1"/>
  <c r="J107" i="1"/>
  <c r="I6" i="9" s="1"/>
  <c r="H6" i="9"/>
  <c r="E48" i="1"/>
  <c r="G48" i="1"/>
  <c r="H48" i="1" s="1"/>
  <c r="I48" i="1" s="1"/>
  <c r="J48" i="1" s="1"/>
  <c r="G21" i="1"/>
  <c r="I23" i="1" l="1"/>
  <c r="J23" i="1" s="1"/>
  <c r="H21" i="1"/>
  <c r="I21" i="1" s="1"/>
  <c r="J21" i="1" s="1"/>
  <c r="D48" i="1"/>
  <c r="F97" i="1"/>
  <c r="G97" i="1" s="1"/>
  <c r="H97" i="1" s="1"/>
  <c r="I97" i="1" s="1"/>
  <c r="J97" i="1" s="1"/>
  <c r="F89" i="1"/>
  <c r="G89" i="1" s="1"/>
  <c r="H89" i="1" s="1"/>
  <c r="I89" i="1" s="1"/>
  <c r="J89" i="1" s="1"/>
  <c r="F78" i="1"/>
  <c r="F68" i="1"/>
  <c r="G68" i="1" s="1"/>
  <c r="H68" i="1" s="1"/>
  <c r="I68" i="1" s="1"/>
  <c r="J68" i="1" s="1"/>
  <c r="F100" i="1"/>
  <c r="G100" i="1" s="1"/>
  <c r="H100" i="1" s="1"/>
  <c r="I100" i="1" s="1"/>
  <c r="J100" i="1" s="1"/>
  <c r="F88" i="1"/>
  <c r="G88" i="1" s="1"/>
  <c r="H88" i="1" s="1"/>
  <c r="I88" i="1" s="1"/>
  <c r="J88" i="1" s="1"/>
  <c r="F59" i="1"/>
  <c r="G59" i="1" s="1"/>
  <c r="H59" i="1" s="1"/>
  <c r="I59" i="1" s="1"/>
  <c r="J59" i="1" s="1"/>
  <c r="F99" i="1"/>
  <c r="G99" i="1" s="1"/>
  <c r="H99" i="1" s="1"/>
  <c r="I99" i="1" s="1"/>
  <c r="J99" i="1" s="1"/>
  <c r="F92" i="1"/>
  <c r="G92" i="1" s="1"/>
  <c r="H92" i="1" s="1"/>
  <c r="I92" i="1" s="1"/>
  <c r="J92" i="1" s="1"/>
  <c r="F71" i="1"/>
  <c r="F85" i="1" l="1"/>
  <c r="G85" i="1" s="1"/>
  <c r="H85" i="1" s="1"/>
  <c r="I85" i="1" s="1"/>
  <c r="J85" i="1" s="1"/>
  <c r="G78" i="1"/>
  <c r="G71" i="1"/>
  <c r="C48" i="1"/>
  <c r="H78" i="1" l="1"/>
  <c r="H71" i="1"/>
  <c r="F33" i="1"/>
  <c r="G33" i="1" s="1"/>
  <c r="F54" i="1"/>
  <c r="F53" i="1"/>
  <c r="F77" i="1"/>
  <c r="G77" i="1" s="1"/>
  <c r="F13" i="1" l="1"/>
  <c r="F56" i="1"/>
  <c r="F58" i="1"/>
  <c r="G58" i="1" s="1"/>
  <c r="F81" i="1"/>
  <c r="G81" i="1" s="1"/>
  <c r="F87" i="1"/>
  <c r="G87" i="1" s="1"/>
  <c r="F111" i="1"/>
  <c r="F25" i="1"/>
  <c r="F16" i="1"/>
  <c r="G32" i="1"/>
  <c r="H33" i="1"/>
  <c r="H32" i="1" s="1"/>
  <c r="F32" i="1"/>
  <c r="I78" i="1"/>
  <c r="H77" i="1"/>
  <c r="I71" i="1"/>
  <c r="G54" i="1"/>
  <c r="G53" i="1"/>
  <c r="H53" i="1" s="1"/>
  <c r="G56" i="1" l="1"/>
  <c r="G13" i="1"/>
  <c r="G16" i="1"/>
  <c r="G25" i="1"/>
  <c r="G111" i="1"/>
  <c r="H111" i="1" s="1"/>
  <c r="I111" i="1" s="1"/>
  <c r="I33" i="1"/>
  <c r="I32" i="1" s="1"/>
  <c r="J78" i="1"/>
  <c r="I77" i="1"/>
  <c r="J71" i="1"/>
  <c r="H54" i="1"/>
  <c r="I54" i="1" s="1"/>
  <c r="J54" i="1" s="1"/>
  <c r="I53" i="1"/>
  <c r="J53" i="1" s="1"/>
  <c r="H13" i="1" l="1"/>
  <c r="I13" i="1" s="1"/>
  <c r="J13" i="1" s="1"/>
  <c r="F12" i="1"/>
  <c r="J111" i="1"/>
  <c r="J33" i="1"/>
  <c r="J32" i="1" s="1"/>
  <c r="J77" i="1"/>
  <c r="F15" i="1" l="1"/>
  <c r="F76" i="1" s="1"/>
  <c r="F117" i="1" s="1"/>
  <c r="F55" i="1"/>
  <c r="F115" i="1" s="1"/>
  <c r="F110" i="1"/>
  <c r="F34" i="1" s="1"/>
  <c r="F24" i="1"/>
  <c r="F27" i="1" s="1"/>
  <c r="F80" i="1"/>
  <c r="F57" i="1"/>
  <c r="F116" i="1" s="1"/>
  <c r="F86" i="1"/>
  <c r="F90" i="1" s="1"/>
  <c r="G12" i="1"/>
  <c r="G110" i="1" s="1"/>
  <c r="F141" i="1"/>
  <c r="F122" i="1" s="1"/>
  <c r="F127" i="1" s="1"/>
  <c r="F20" i="1"/>
  <c r="F22" i="1"/>
  <c r="F29" i="1" l="1"/>
  <c r="F35" i="1" s="1"/>
  <c r="E8" i="9" s="1"/>
  <c r="F17" i="1"/>
  <c r="F18" i="1" s="1"/>
  <c r="F83" i="1"/>
  <c r="F93" i="1" s="1"/>
  <c r="F62" i="1"/>
  <c r="F69" i="1" s="1"/>
  <c r="G22" i="1"/>
  <c r="G20" i="1"/>
  <c r="G141" i="1"/>
  <c r="G122" i="1" s="1"/>
  <c r="G127" i="1" s="1"/>
  <c r="G55" i="1"/>
  <c r="G115" i="1" s="1"/>
  <c r="G86" i="1"/>
  <c r="G90" i="1" s="1"/>
  <c r="G80" i="1"/>
  <c r="G15" i="1"/>
  <c r="G76" i="1" s="1"/>
  <c r="G57" i="1"/>
  <c r="G116" i="1" s="1"/>
  <c r="H12" i="1"/>
  <c r="H110" i="1" s="1"/>
  <c r="G24" i="1"/>
  <c r="G27" i="1" s="1"/>
  <c r="F39" i="1" l="1"/>
  <c r="F41" i="1" s="1"/>
  <c r="F42" i="1" s="1"/>
  <c r="F98" i="1" s="1"/>
  <c r="F101" i="1" s="1"/>
  <c r="F103" i="1" s="1"/>
  <c r="F30" i="1"/>
  <c r="G83" i="1"/>
  <c r="G93" i="1" s="1"/>
  <c r="H22" i="1"/>
  <c r="G17" i="1"/>
  <c r="G18" i="1" s="1"/>
  <c r="G29" i="1"/>
  <c r="G35" i="1" s="1"/>
  <c r="F8" i="9" s="1"/>
  <c r="G62" i="1"/>
  <c r="G69" i="1" s="1"/>
  <c r="I12" i="1"/>
  <c r="I110" i="1" s="1"/>
  <c r="H20" i="1"/>
  <c r="H141" i="1"/>
  <c r="H122" i="1" s="1"/>
  <c r="H127" i="1" s="1"/>
  <c r="G117" i="1"/>
  <c r="F44" i="1" l="1"/>
  <c r="F109" i="1"/>
  <c r="F120" i="1" s="1"/>
  <c r="F137" i="1" s="1"/>
  <c r="F138" i="1" s="1"/>
  <c r="G39" i="1"/>
  <c r="G41" i="1" s="1"/>
  <c r="G42" i="1" s="1"/>
  <c r="G44" i="1" s="1"/>
  <c r="I22" i="1"/>
  <c r="I20" i="1"/>
  <c r="H62" i="1"/>
  <c r="H69" i="1" s="1"/>
  <c r="J12" i="1"/>
  <c r="F140" i="1" l="1"/>
  <c r="F143" i="1" s="1"/>
  <c r="E10" i="9" s="1"/>
  <c r="E11" i="9" s="1"/>
  <c r="F52" i="1"/>
  <c r="F60" i="1" s="1"/>
  <c r="G139" i="1"/>
  <c r="G98" i="1"/>
  <c r="G101" i="1" s="1"/>
  <c r="G103" i="1" s="1"/>
  <c r="G109" i="1"/>
  <c r="G120" i="1" s="1"/>
  <c r="G140" i="1" s="1"/>
  <c r="J22" i="1"/>
  <c r="J20" i="1"/>
  <c r="J110" i="1"/>
  <c r="F114" i="1" l="1"/>
  <c r="F72" i="1"/>
  <c r="G137" i="1"/>
  <c r="G138" i="1" s="1"/>
  <c r="H139" i="1" s="1"/>
  <c r="G52" i="1" l="1"/>
  <c r="G60" i="1" s="1"/>
  <c r="G72" i="1" s="1"/>
  <c r="G34" i="1" s="1"/>
  <c r="G30" i="1" s="1"/>
  <c r="G114" i="1" l="1"/>
  <c r="G143" i="1" s="1"/>
  <c r="F10" i="9" s="1"/>
  <c r="F11" i="9" s="1"/>
  <c r="H58" i="1"/>
  <c r="H87" i="1"/>
  <c r="H16" i="1"/>
  <c r="H25" i="1"/>
  <c r="H81" i="1"/>
  <c r="I142" i="1"/>
  <c r="H56" i="1"/>
  <c r="H24" i="1" l="1"/>
  <c r="H27" i="1" s="1"/>
  <c r="H29" i="1" s="1"/>
  <c r="H35" i="1" s="1"/>
  <c r="I25" i="1"/>
  <c r="H15" i="1"/>
  <c r="I16" i="1"/>
  <c r="I15" i="1" s="1"/>
  <c r="H80" i="1"/>
  <c r="I81" i="1"/>
  <c r="I80" i="1" s="1"/>
  <c r="H57" i="1"/>
  <c r="H116" i="1" s="1"/>
  <c r="I58" i="1"/>
  <c r="I141" i="1"/>
  <c r="I122" i="1" s="1"/>
  <c r="I127" i="1" s="1"/>
  <c r="J142" i="1"/>
  <c r="J141" i="1" s="1"/>
  <c r="J122" i="1" s="1"/>
  <c r="J127" i="1" s="1"/>
  <c r="H17" i="1"/>
  <c r="H18" i="1" s="1"/>
  <c r="H76" i="1"/>
  <c r="I56" i="1"/>
  <c r="I55" i="1" s="1"/>
  <c r="H55" i="1"/>
  <c r="I87" i="1"/>
  <c r="H86" i="1"/>
  <c r="H90" i="1" s="1"/>
  <c r="J25" i="1" l="1"/>
  <c r="J24" i="1" s="1"/>
  <c r="J27" i="1" s="1"/>
  <c r="J29" i="1" s="1"/>
  <c r="J35" i="1" s="1"/>
  <c r="I24" i="1"/>
  <c r="I27" i="1" s="1"/>
  <c r="I29" i="1" s="1"/>
  <c r="I35" i="1" s="1"/>
  <c r="J16" i="1"/>
  <c r="J15" i="1" s="1"/>
  <c r="J17" i="1"/>
  <c r="J18" i="1" s="1"/>
  <c r="J76" i="1"/>
  <c r="I76" i="1"/>
  <c r="I117" i="1" s="1"/>
  <c r="I17" i="1"/>
  <c r="I18" i="1" s="1"/>
  <c r="J81" i="1"/>
  <c r="J80" i="1" s="1"/>
  <c r="J83" i="1" s="1"/>
  <c r="J58" i="1"/>
  <c r="J57" i="1" s="1"/>
  <c r="I57" i="1"/>
  <c r="J116" i="1" s="1"/>
  <c r="J56" i="1"/>
  <c r="J55" i="1" s="1"/>
  <c r="J115" i="1" s="1"/>
  <c r="I62" i="1"/>
  <c r="J62" i="1" s="1"/>
  <c r="J69" i="1" s="1"/>
  <c r="H83" i="1"/>
  <c r="H93" i="1" s="1"/>
  <c r="H117" i="1"/>
  <c r="H39" i="1"/>
  <c r="H41" i="1" s="1"/>
  <c r="H42" i="1" s="1"/>
  <c r="G8" i="9"/>
  <c r="H115" i="1"/>
  <c r="I115" i="1"/>
  <c r="J87" i="1"/>
  <c r="J86" i="1" s="1"/>
  <c r="J90" i="1" s="1"/>
  <c r="I86" i="1"/>
  <c r="I90" i="1" s="1"/>
  <c r="J93" i="1" l="1"/>
  <c r="J39" i="1"/>
  <c r="J41" i="1" s="1"/>
  <c r="J42" i="1" s="1"/>
  <c r="I8" i="9"/>
  <c r="J117" i="1"/>
  <c r="H8" i="9"/>
  <c r="I39" i="1"/>
  <c r="I41" i="1" s="1"/>
  <c r="I42" i="1" s="1"/>
  <c r="I83" i="1"/>
  <c r="I93" i="1"/>
  <c r="I116" i="1"/>
  <c r="I69" i="1"/>
  <c r="H44" i="1"/>
  <c r="H109" i="1"/>
  <c r="H120" i="1" s="1"/>
  <c r="H98" i="1"/>
  <c r="I44" i="1" l="1"/>
  <c r="I109" i="1"/>
  <c r="I120" i="1" s="1"/>
  <c r="J109" i="1"/>
  <c r="J120" i="1" s="1"/>
  <c r="J44" i="1"/>
  <c r="H137" i="1"/>
  <c r="H138" i="1" s="1"/>
  <c r="H140" i="1"/>
  <c r="H101" i="1"/>
  <c r="H103" i="1" s="1"/>
  <c r="I98" i="1"/>
  <c r="J140" i="1" l="1"/>
  <c r="J137" i="1"/>
  <c r="I140" i="1"/>
  <c r="I137" i="1"/>
  <c r="J98" i="1"/>
  <c r="J101" i="1" s="1"/>
  <c r="J103" i="1" s="1"/>
  <c r="I101" i="1"/>
  <c r="I103" i="1" s="1"/>
  <c r="I139" i="1"/>
  <c r="I138" i="1" s="1"/>
  <c r="H52" i="1"/>
  <c r="H60" i="1" s="1"/>
  <c r="J139" i="1" l="1"/>
  <c r="J138" i="1" s="1"/>
  <c r="J52" i="1" s="1"/>
  <c r="J60" i="1" s="1"/>
  <c r="J72" i="1" s="1"/>
  <c r="J34" i="1" s="1"/>
  <c r="J30" i="1" s="1"/>
  <c r="I52" i="1"/>
  <c r="I60" i="1" s="1"/>
  <c r="I114" i="1" s="1"/>
  <c r="I143" i="1" s="1"/>
  <c r="H10" i="9" s="1"/>
  <c r="H11" i="9" s="1"/>
  <c r="H114" i="1"/>
  <c r="H143" i="1" s="1"/>
  <c r="G10" i="9" s="1"/>
  <c r="G11" i="9" s="1"/>
  <c r="H72" i="1"/>
  <c r="H34" i="1" s="1"/>
  <c r="H30" i="1" s="1"/>
  <c r="J114" i="1" l="1"/>
  <c r="J143" i="1" s="1"/>
  <c r="I10" i="9" s="1"/>
  <c r="I72" i="1"/>
  <c r="I34" i="1" s="1"/>
  <c r="I30" i="1" s="1"/>
  <c r="M10" i="9" l="1"/>
  <c r="I11" i="9"/>
  <c r="M14" i="9" l="1"/>
  <c r="M17" i="9" s="1"/>
  <c r="M19" i="9" l="1"/>
  <c r="M22" i="9" s="1"/>
  <c r="D19" i="9" l="1"/>
  <c r="K22" i="9"/>
  <c r="B19" i="9"/>
  <c r="M23" i="9"/>
  <c r="K23" i="9" s="1"/>
  <c r="D20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<sst xmlns="http://schemas.openxmlformats.org/spreadsheetml/2006/main" count="175" uniqueCount="158">
  <si>
    <t>Yellow cells are to be entered in manually or if left blank will be filled with the average of previous years statements model</t>
  </si>
  <si>
    <t>Year</t>
  </si>
  <si>
    <t>Quarter</t>
  </si>
  <si>
    <t>Q2</t>
  </si>
  <si>
    <t>Tickers</t>
  </si>
  <si>
    <t>Name</t>
  </si>
  <si>
    <t>Price</t>
  </si>
  <si>
    <t>PE</t>
  </si>
  <si>
    <t>(millions of $'s)</t>
  </si>
  <si>
    <t>Market Cap</t>
  </si>
  <si>
    <t>Revenue Per Share</t>
  </si>
  <si>
    <t>Revenue Growth</t>
  </si>
  <si>
    <t>EPS</t>
  </si>
  <si>
    <t>Dividend Yield</t>
  </si>
  <si>
    <t>Ticker</t>
  </si>
  <si>
    <t>Currency</t>
  </si>
  <si>
    <t>USD</t>
  </si>
  <si>
    <t>Current Year</t>
  </si>
  <si>
    <t>Shares Outstanding</t>
  </si>
  <si>
    <t>Estimated Tax Rate</t>
  </si>
  <si>
    <t>Income Statement</t>
  </si>
  <si>
    <t>FY</t>
  </si>
  <si>
    <t>E</t>
  </si>
  <si>
    <t>Revenue</t>
  </si>
  <si>
    <t>Cost of Revenue</t>
  </si>
  <si>
    <t>COGS % of Revenue</t>
  </si>
  <si>
    <t>Gross Profit</t>
  </si>
  <si>
    <t>Gross Profit Ratio</t>
  </si>
  <si>
    <t>Research And Development Expenses</t>
  </si>
  <si>
    <t>Research And Ddevelopement To Revenue</t>
  </si>
  <si>
    <t>Sales General And Administrative To Revenue</t>
  </si>
  <si>
    <t>Selling And Marketing Expenses</t>
  </si>
  <si>
    <t>Marketing Expense to Revenue</t>
  </si>
  <si>
    <t>Other Expenses</t>
  </si>
  <si>
    <t>Operating Expenses</t>
  </si>
  <si>
    <t>Cost And Expenses</t>
  </si>
  <si>
    <t>EBITDA</t>
  </si>
  <si>
    <t>EBITDAratio</t>
  </si>
  <si>
    <t>Interest Expense</t>
  </si>
  <si>
    <t>Interest Expense (% of LT Debt)</t>
  </si>
  <si>
    <t>Depreciation And Amortization</t>
  </si>
  <si>
    <t>Operating Income</t>
  </si>
  <si>
    <t>Operating Income Ratio</t>
  </si>
  <si>
    <t>Total Other Income Expenses Net</t>
  </si>
  <si>
    <t>Income Before Tax</t>
  </si>
  <si>
    <t>Income Before Tax Ratio</t>
  </si>
  <si>
    <t>Income Tax Expense</t>
  </si>
  <si>
    <t>Net Income</t>
  </si>
  <si>
    <t>Balance Sheet</t>
  </si>
  <si>
    <t>Assets</t>
  </si>
  <si>
    <t>Cash And Cash Equivalents</t>
  </si>
  <si>
    <t>Short Term Investments</t>
  </si>
  <si>
    <t>Cash And Short Term Investments</t>
  </si>
  <si>
    <t>Net Receivables</t>
  </si>
  <si>
    <t>Net Receivable(% of Revenue)</t>
  </si>
  <si>
    <t>Inventory</t>
  </si>
  <si>
    <t>Inventory(% of Revenue)</t>
  </si>
  <si>
    <t>Other Current Assets</t>
  </si>
  <si>
    <t>Total Current Assets</t>
  </si>
  <si>
    <t>Property Plant Equipment Net</t>
  </si>
  <si>
    <t>Goodwill</t>
  </si>
  <si>
    <t>Intangible Assets</t>
  </si>
  <si>
    <t>Goodwill And Intangible Assets</t>
  </si>
  <si>
    <t>Long Term Investments</t>
  </si>
  <si>
    <t>Tax Assets</t>
  </si>
  <si>
    <t>Other Non Current Assets</t>
  </si>
  <si>
    <t>Total Non Current Assets</t>
  </si>
  <si>
    <t>Other Assets</t>
  </si>
  <si>
    <t>Total Assets</t>
  </si>
  <si>
    <t>Liabilities</t>
  </si>
  <si>
    <t>Account Payables</t>
  </si>
  <si>
    <t>AP (% of COGS)</t>
  </si>
  <si>
    <t>Short Term Debt</t>
  </si>
  <si>
    <t>Tax Payables</t>
  </si>
  <si>
    <t>Deferred Revenue</t>
  </si>
  <si>
    <t>Deferred Revenue (% of Revenue)</t>
  </si>
  <si>
    <t>Other Current Liabilities</t>
  </si>
  <si>
    <t>Total Current Liabilities</t>
  </si>
  <si>
    <t>Long Term Debt</t>
  </si>
  <si>
    <t>Deferred Revenue Non Current</t>
  </si>
  <si>
    <t>DRNC (% of Revenue)</t>
  </si>
  <si>
    <t>Deferred Tax Liabilities Non Current</t>
  </si>
  <si>
    <t>Other Non Current Liabilities</t>
  </si>
  <si>
    <t>Total Non Current Liabilities</t>
  </si>
  <si>
    <t>Other Liabilities</t>
  </si>
  <si>
    <t>Total Liabilities</t>
  </si>
  <si>
    <t>Stockholders Equity</t>
  </si>
  <si>
    <t>Common Stock</t>
  </si>
  <si>
    <t>Retained Earnings</t>
  </si>
  <si>
    <t>Accumulated Other Comprehensive Income Loss</t>
  </si>
  <si>
    <t>Othertotal Stockholders Equity</t>
  </si>
  <si>
    <t>Total Stockholders Equity</t>
  </si>
  <si>
    <t>Total Liabilities and Stockholders Equity</t>
  </si>
  <si>
    <t>Cash Flows</t>
  </si>
  <si>
    <t>D&amp;A (% of Revenue)</t>
  </si>
  <si>
    <t>Deferred Income Tax</t>
  </si>
  <si>
    <t>Stock Based Compensation</t>
  </si>
  <si>
    <t>Change In Working Capital</t>
  </si>
  <si>
    <t>Accounts Receivables</t>
  </si>
  <si>
    <t>Accounts Payables</t>
  </si>
  <si>
    <t>Other Working Capital</t>
  </si>
  <si>
    <t>Other Non Cash Items</t>
  </si>
  <si>
    <t>Net Cash Provided By Operating Activities</t>
  </si>
  <si>
    <t>Investments In Property Plant And Equipment</t>
  </si>
  <si>
    <t>Acquisitions Net</t>
  </si>
  <si>
    <t>Purchases Of Investments</t>
  </si>
  <si>
    <t>Sales Maturities Of Investments</t>
  </si>
  <si>
    <t>Other Investing Activites</t>
  </si>
  <si>
    <t>Net Cash Used For Investing Activites</t>
  </si>
  <si>
    <t>Debt Repayment</t>
  </si>
  <si>
    <t>Common Stock Issued</t>
  </si>
  <si>
    <t>Common Stock Repurchased</t>
  </si>
  <si>
    <t>Dividends Paid</t>
  </si>
  <si>
    <t>Other Financing Activites</t>
  </si>
  <si>
    <t>Net Cash Used Provided By Financing Activities</t>
  </si>
  <si>
    <t>Effect Of Forex Changes On Cash</t>
  </si>
  <si>
    <t>Net Change In Cash</t>
  </si>
  <si>
    <t>Cash At End Of Period</t>
  </si>
  <si>
    <t>Cash At Beginning Of Period</t>
  </si>
  <si>
    <t>Operating Cash Flow</t>
  </si>
  <si>
    <t>Capital Expenditure</t>
  </si>
  <si>
    <t>CapEx (% of Revenue)</t>
  </si>
  <si>
    <t>Free Cash Flow</t>
  </si>
  <si>
    <t>Discounted Cash Flow Analysis</t>
  </si>
  <si>
    <t>Cash Flow Projections</t>
  </si>
  <si>
    <t>DCF Assumptions</t>
  </si>
  <si>
    <t>WACC Calculation</t>
  </si>
  <si>
    <t>Discount Rate:</t>
  </si>
  <si>
    <t>Terminal Growth Rate:</t>
  </si>
  <si>
    <t>Terminal Value:</t>
  </si>
  <si>
    <t>Rf</t>
  </si>
  <si>
    <t>Present Value of FCF</t>
  </si>
  <si>
    <t>Beta</t>
  </si>
  <si>
    <t>PV of Terminal Value:</t>
  </si>
  <si>
    <t>Rm</t>
  </si>
  <si>
    <t>Sum of PV of Cash Flows:</t>
  </si>
  <si>
    <t>Ke</t>
  </si>
  <si>
    <t>Enterprise Value:</t>
  </si>
  <si>
    <t>Tax Rate</t>
  </si>
  <si>
    <t>Market Value vs Intrinsic Value</t>
  </si>
  <si>
    <t>Balance Sheet Adjustments:</t>
  </si>
  <si>
    <t>Implied Equity Value:</t>
  </si>
  <si>
    <t>Cash and Cash Equivalents</t>
  </si>
  <si>
    <t>MarketValue</t>
  </si>
  <si>
    <t>Total Debt</t>
  </si>
  <si>
    <t>Implied Price per Share:</t>
  </si>
  <si>
    <t>Ve</t>
  </si>
  <si>
    <t>Intrinsic Value</t>
  </si>
  <si>
    <t>Current Price:</t>
  </si>
  <si>
    <t>Vd</t>
  </si>
  <si>
    <t>Kd</t>
  </si>
  <si>
    <t>WACC</t>
  </si>
  <si>
    <t>AAPL</t>
  </si>
  <si>
    <t>MSFT</t>
  </si>
  <si>
    <t>ADBE</t>
  </si>
  <si>
    <t>NVDA</t>
  </si>
  <si>
    <t>GOOG</t>
  </si>
  <si>
    <t>Selling General And Administrative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</si>
</sst>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_(&quot;$&quot;* #,##0_);_(&quot;$&quot;* \(#,##0\);_(&quot;$&quot;* &quot;-&quot;??_);_(@_)"/>
    <numFmt numFmtId="166" formatCode="0.00_);\(0.00\)"/>
    <numFmt numFmtId="167" formatCode="_(* #,##0_);_(* \(#,##0\);_(* &quot;-&quot;??_);_(@_)"/>
    <numFmt numFmtId="168" formatCode="0.0%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165" fontId="0" fillId="2" borderId="0" xfId="0" applyNumberFormat="1" applyFill="1"/>
    <xf numFmtId="165" fontId="0" fillId="2" borderId="1" xfId="1" applyNumberFormat="1" applyFont="1" applyFill="1" applyBorder="1"/>
    <xf numFmtId="10" fontId="0" fillId="2" borderId="0" xfId="0" applyNumberFormat="1" applyFill="1"/>
    <xf numFmtId="44" fontId="0" fillId="2" borderId="1" xfId="1" applyFont="1" applyFill="1" applyBorder="1"/>
    <xf numFmtId="165" fontId="0" fillId="2" borderId="2" xfId="1" applyNumberFormat="1" applyFont="1" applyFill="1" applyBorder="1"/>
    <xf numFmtId="165" fontId="0" fillId="2" borderId="1" xfId="0" applyNumberFormat="1" applyFill="1" applyBorder="1"/>
    <xf numFmtId="44" fontId="0" fillId="2" borderId="0" xfId="0" applyNumberFormat="1" applyFill="1"/>
    <xf numFmtId="165" fontId="0" fillId="2" borderId="0" xfId="0" applyNumberFormat="1" applyFill="1" applyBorder="1"/>
    <xf numFmtId="165" fontId="0" fillId="2" borderId="2" xfId="0" applyNumberFormat="1" applyFill="1" applyBorder="1"/>
    <xf numFmtId="165" fontId="0" fillId="2" borderId="3" xfId="0" applyNumberFormat="1" applyFill="1" applyBorder="1"/>
    <xf numFmtId="0" fontId="5" fillId="3" borderId="4" xfId="0" applyFont="1" applyFill="1" applyBorder="1"/>
    <xf numFmtId="0" fontId="0" fillId="4" borderId="5" xfId="0" applyFill="1" applyBorder="1"/>
    <xf numFmtId="0" fontId="5" fillId="3" borderId="6" xfId="0" applyFont="1" applyFill="1" applyBorder="1"/>
    <xf numFmtId="0" fontId="6" fillId="3" borderId="4" xfId="0" applyFont="1" applyFill="1" applyBorder="1"/>
    <xf numFmtId="0" fontId="0" fillId="4" borderId="3" xfId="0" applyFill="1" applyBorder="1"/>
    <xf numFmtId="0" fontId="5" fillId="3" borderId="8" xfId="0" applyFont="1" applyFill="1" applyBorder="1"/>
    <xf numFmtId="0" fontId="5" fillId="3" borderId="0" xfId="0" applyFont="1" applyFill="1" applyBorder="1"/>
    <xf numFmtId="10" fontId="3" fillId="2" borderId="0" xfId="2" applyNumberFormat="1" applyFont="1" applyFill="1" applyBorder="1"/>
    <xf numFmtId="44" fontId="0" fillId="2" borderId="1" xfId="0" applyNumberFormat="1" applyFill="1" applyBorder="1"/>
    <xf numFmtId="165" fontId="0" fillId="2" borderId="9" xfId="0" applyNumberFormat="1" applyFill="1" applyBorder="1"/>
    <xf numFmtId="165" fontId="0" fillId="2" borderId="11" xfId="0" applyNumberFormat="1" applyFill="1" applyBorder="1"/>
    <xf numFmtId="165" fontId="0" fillId="2" borderId="5" xfId="0" applyNumberFormat="1" applyFill="1" applyBorder="1"/>
    <xf numFmtId="10" fontId="3" fillId="2" borderId="9" xfId="2" applyNumberFormat="1" applyFont="1" applyFill="1" applyBorder="1"/>
    <xf numFmtId="0" fontId="5" fillId="3" borderId="9" xfId="0" applyFont="1" applyFill="1" applyBorder="1"/>
    <xf numFmtId="10" fontId="0" fillId="2" borderId="9" xfId="2" applyNumberFormat="1" applyFont="1" applyFill="1" applyBorder="1"/>
    <xf numFmtId="165" fontId="0" fillId="2" borderId="12" xfId="0" applyNumberFormat="1" applyFill="1" applyBorder="1"/>
    <xf numFmtId="0" fontId="0" fillId="2" borderId="9" xfId="0" applyFill="1" applyBorder="1"/>
    <xf numFmtId="44" fontId="0" fillId="2" borderId="9" xfId="0" applyNumberFormat="1" applyFill="1" applyBorder="1"/>
    <xf numFmtId="165" fontId="0" fillId="2" borderId="9" xfId="1" applyNumberFormat="1" applyFont="1" applyFill="1" applyBorder="1"/>
    <xf numFmtId="165" fontId="0" fillId="2" borderId="11" xfId="1" applyNumberFormat="1" applyFont="1" applyFill="1" applyBorder="1"/>
    <xf numFmtId="165" fontId="3" fillId="2" borderId="9" xfId="0" applyNumberFormat="1" applyFont="1" applyFill="1" applyBorder="1"/>
    <xf numFmtId="44" fontId="0" fillId="2" borderId="9" xfId="1" applyFont="1" applyFill="1" applyBorder="1"/>
    <xf numFmtId="44" fontId="0" fillId="2" borderId="11" xfId="1" applyFont="1" applyFill="1" applyBorder="1"/>
    <xf numFmtId="165" fontId="0" fillId="2" borderId="12" xfId="1" applyNumberFormat="1" applyFont="1" applyFill="1" applyBorder="1"/>
    <xf numFmtId="44" fontId="0" fillId="2" borderId="9" xfId="1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5" fillId="2" borderId="0" xfId="0" applyFont="1" applyFill="1"/>
    <xf numFmtId="0" fontId="8" fillId="3" borderId="4" xfId="0" applyFont="1" applyFill="1" applyBorder="1"/>
    <xf numFmtId="0" fontId="5" fillId="3" borderId="3" xfId="0" applyFont="1" applyFill="1" applyBorder="1"/>
    <xf numFmtId="0" fontId="8" fillId="3" borderId="0" xfId="0" applyFont="1" applyFill="1" applyBorder="1"/>
    <xf numFmtId="0" fontId="8" fillId="3" borderId="9" xfId="0" applyFont="1" applyFill="1" applyBorder="1"/>
    <xf numFmtId="0" fontId="0" fillId="2" borderId="8" xfId="0" applyFill="1" applyBorder="1"/>
    <xf numFmtId="0" fontId="0" fillId="2" borderId="0" xfId="0" applyFill="1" applyBorder="1"/>
    <xf numFmtId="0" fontId="2" fillId="2" borderId="8" xfId="0" applyFont="1" applyFill="1" applyBorder="1"/>
    <xf numFmtId="165" fontId="0" fillId="2" borderId="0" xfId="1" applyNumberFormat="1" applyFont="1" applyFill="1" applyBorder="1"/>
    <xf numFmtId="0" fontId="2" fillId="2" borderId="6" xfId="0" applyFont="1" applyFill="1" applyBorder="1"/>
    <xf numFmtId="0" fontId="0" fillId="2" borderId="10" xfId="0" applyFill="1" applyBorder="1"/>
    <xf numFmtId="165" fontId="0" fillId="2" borderId="10" xfId="0" applyNumberFormat="1" applyFill="1" applyBorder="1"/>
    <xf numFmtId="165" fontId="0" fillId="2" borderId="7" xfId="0" applyNumberFormat="1" applyFill="1" applyBorder="1"/>
    <xf numFmtId="0" fontId="8" fillId="3" borderId="3" xfId="0" applyFont="1" applyFill="1" applyBorder="1"/>
    <xf numFmtId="0" fontId="8" fillId="3" borderId="5" xfId="0" applyFont="1" applyFill="1" applyBorder="1"/>
    <xf numFmtId="0" fontId="8" fillId="3" borderId="8" xfId="0" applyFont="1" applyFill="1" applyBorder="1"/>
    <xf numFmtId="10" fontId="0" fillId="2" borderId="9" xfId="0" applyNumberFormat="1" applyFill="1" applyBorder="1"/>
    <xf numFmtId="6" fontId="0" fillId="2" borderId="9" xfId="0" applyNumberFormat="1" applyFill="1" applyBorder="1"/>
    <xf numFmtId="6" fontId="2" fillId="2" borderId="9" xfId="0" applyNumberFormat="1" applyFont="1" applyFill="1" applyBorder="1"/>
    <xf numFmtId="10" fontId="0" fillId="2" borderId="0" xfId="0" applyNumberFormat="1" applyFill="1" applyBorder="1"/>
    <xf numFmtId="44" fontId="0" fillId="2" borderId="0" xfId="0" applyNumberFormat="1" applyFill="1" applyBorder="1"/>
    <xf numFmtId="44" fontId="0" fillId="2" borderId="0" xfId="1" applyFont="1" applyFill="1" applyBorder="1"/>
    <xf numFmtId="0" fontId="5" fillId="2" borderId="0" xfId="0" applyFont="1" applyFill="1" applyBorder="1"/>
    <xf numFmtId="0" fontId="0" fillId="2" borderId="6" xfId="0" applyFill="1" applyBorder="1"/>
    <xf numFmtId="9" fontId="0" fillId="2" borderId="7" xfId="2" applyFont="1" applyFill="1" applyBorder="1"/>
    <xf numFmtId="10" fontId="0" fillId="4" borderId="9" xfId="0" applyNumberFormat="1" applyFill="1" applyBorder="1"/>
    <xf numFmtId="0" fontId="5" fillId="3" borderId="5" xfId="0" applyFont="1" applyFill="1" applyBorder="1"/>
    <xf numFmtId="44" fontId="0" fillId="2" borderId="7" xfId="0" applyNumberFormat="1" applyFill="1" applyBorder="1"/>
    <xf numFmtId="10" fontId="3" fillId="4" borderId="0" xfId="2" applyNumberFormat="1" applyFont="1" applyFill="1" applyBorder="1"/>
    <xf numFmtId="10" fontId="3" fillId="4" borderId="9" xfId="2" applyNumberFormat="1" applyFont="1" applyFill="1" applyBorder="1"/>
    <xf numFmtId="10" fontId="0" fillId="2" borderId="0" xfId="2" applyNumberFormat="1" applyFont="1" applyFill="1" applyBorder="1"/>
    <xf numFmtId="44" fontId="3" fillId="2" borderId="0" xfId="1" applyFont="1" applyFill="1" applyBorder="1"/>
    <xf numFmtId="165" fontId="3" fillId="2" borderId="0" xfId="0" applyNumberFormat="1" applyFont="1" applyFill="1" applyBorder="1"/>
    <xf numFmtId="0" fontId="3" fillId="2" borderId="0" xfId="0" applyFont="1" applyFill="1" applyBorder="1"/>
    <xf numFmtId="0" fontId="3" fillId="2" borderId="9" xfId="0" applyFont="1" applyFill="1" applyBorder="1"/>
    <xf numFmtId="39" fontId="0" fillId="2" borderId="8" xfId="0" applyNumberFormat="1" applyFill="1" applyBorder="1"/>
    <xf numFmtId="39" fontId="2" fillId="2" borderId="8" xfId="0" applyNumberFormat="1" applyFont="1" applyFill="1" applyBorder="1"/>
    <xf numFmtId="166" fontId="0" fillId="2" borderId="8" xfId="0" applyNumberFormat="1" applyFill="1" applyBorder="1"/>
    <xf numFmtId="44" fontId="0" fillId="2" borderId="0" xfId="1" applyNumberFormat="1" applyFont="1" applyFill="1" applyBorder="1"/>
    <xf numFmtId="0" fontId="4" fillId="2" borderId="8" xfId="0" applyFont="1" applyFill="1" applyBorder="1"/>
    <xf numFmtId="10" fontId="0" fillId="4" borderId="0" xfId="2" applyNumberFormat="1" applyFont="1" applyFill="1" applyBorder="1"/>
    <xf numFmtId="10" fontId="0" fillId="4" borderId="9" xfId="2" applyNumberFormat="1" applyFont="1" applyFill="1" applyBorder="1"/>
    <xf numFmtId="0" fontId="0" fillId="0" borderId="0" xfId="0" applyBorder="1"/>
    <xf numFmtId="0" fontId="4" fillId="2" borderId="8" xfId="0" applyFont="1" applyFill="1" applyBorder="1" applyAlignment="1">
      <alignment horizontal="left" vertical="center"/>
    </xf>
    <xf numFmtId="39" fontId="4" fillId="2" borderId="8" xfId="0" applyNumberFormat="1" applyFont="1" applyFill="1" applyBorder="1"/>
    <xf numFmtId="44" fontId="0" fillId="2" borderId="11" xfId="0" applyNumberFormat="1" applyFill="1" applyBorder="1"/>
    <xf numFmtId="39" fontId="2" fillId="2" borderId="6" xfId="0" applyNumberFormat="1" applyFont="1" applyFill="1" applyBorder="1"/>
    <xf numFmtId="0" fontId="0" fillId="5" borderId="5" xfId="0" applyFont="1" applyFill="1" applyBorder="1" applyAlignment="1">
      <alignment horizontal="right"/>
    </xf>
    <xf numFmtId="0" fontId="0" fillId="5" borderId="9" xfId="0" applyFont="1" applyFill="1" applyBorder="1" applyAlignment="1">
      <alignment horizontal="right"/>
    </xf>
    <xf numFmtId="44" fontId="1" fillId="6" borderId="9" xfId="1" applyFont="1" applyFill="1" applyBorder="1"/>
    <xf numFmtId="167" fontId="1" fillId="6" borderId="9" xfId="3" applyNumberFormat="1" applyFont="1" applyFill="1" applyBorder="1"/>
    <xf numFmtId="10" fontId="8" fillId="3" borderId="9" xfId="0" applyNumberFormat="1" applyFont="1" applyFill="1" applyBorder="1"/>
    <xf numFmtId="0" fontId="0" fillId="4" borderId="9" xfId="0" applyFill="1" applyBorder="1"/>
    <xf numFmtId="9" fontId="0" fillId="4" borderId="9" xfId="0" applyNumberFormat="1" applyFill="1" applyBorder="1"/>
    <xf numFmtId="0" fontId="0" fillId="2" borderId="13" xfId="0" applyFill="1" applyBorder="1"/>
    <xf numFmtId="10" fontId="0" fillId="2" borderId="11" xfId="0" applyNumberFormat="1" applyFill="1" applyBorder="1"/>
    <xf numFmtId="9" fontId="0" fillId="2" borderId="9" xfId="0" applyNumberFormat="1" applyFill="1" applyBorder="1"/>
    <xf numFmtId="0" fontId="0" fillId="0" borderId="8" xfId="0" applyBorder="1"/>
    <xf numFmtId="44" fontId="0" fillId="0" borderId="9" xfId="0" applyNumberFormat="1" applyBorder="1"/>
    <xf numFmtId="10" fontId="0" fillId="2" borderId="7" xfId="2" applyNumberFormat="1" applyFont="1" applyFill="1" applyBorder="1"/>
    <xf numFmtId="2" fontId="0" fillId="2" borderId="0" xfId="0" applyNumberFormat="1" applyFill="1" applyBorder="1"/>
    <xf numFmtId="2" fontId="0" fillId="2" borderId="9" xfId="0" applyNumberFormat="1" applyFill="1" applyBorder="1"/>
    <xf numFmtId="10" fontId="0" fillId="2" borderId="10" xfId="2" applyNumberFormat="1" applyFont="1" applyFill="1" applyBorder="1"/>
    <xf numFmtId="0" fontId="5" fillId="3" borderId="14" xfId="0" applyFont="1" applyFill="1" applyBorder="1"/>
    <xf numFmtId="0" fontId="0" fillId="4" borderId="14" xfId="0" applyFill="1" applyBorder="1"/>
    <xf numFmtId="0" fontId="0" fillId="4" borderId="14" xfId="0" applyFill="1" applyBorder="1" applyAlignment="1">
      <alignment horizontal="right"/>
    </xf>
    <xf numFmtId="0" fontId="0" fillId="2" borderId="8" xfId="0" applyFill="1" applyBorder="1" applyAlignment="1">
      <alignment horizontal="left"/>
    </xf>
    <xf numFmtId="0" fontId="2" fillId="0" borderId="0" xfId="0" applyFont="1"/>
    <xf numFmtId="9" fontId="0" fillId="2" borderId="0" xfId="2" applyFont="1" applyFill="1" applyBorder="1"/>
    <xf numFmtId="9" fontId="0" fillId="2" borderId="9" xfId="2" applyFont="1" applyFill="1" applyBorder="1"/>
    <xf numFmtId="0" fontId="0" fillId="2" borderId="8" xfId="0" applyFill="1" applyBorder="1" applyAlignment="1">
      <alignment horizontal="left" indent="1"/>
    </xf>
    <xf numFmtId="10" fontId="0" fillId="2" borderId="8" xfId="0" applyNumberFormat="1" applyFill="1" applyBorder="1" applyAlignment="1">
      <alignment horizontal="left" indent="1"/>
    </xf>
    <xf numFmtId="0" fontId="3" fillId="2" borderId="8" xfId="0" applyFont="1" applyFill="1" applyBorder="1" applyAlignment="1">
      <alignment horizontal="left" indent="1"/>
    </xf>
    <xf numFmtId="168" fontId="0" fillId="2" borderId="0" xfId="2" applyNumberFormat="1" applyFont="1" applyFill="1" applyBorder="1"/>
    <xf numFmtId="0" fontId="0" fillId="5" borderId="7" xfId="0" applyFont="1" applyFill="1" applyBorder="1" applyAlignment="1">
      <alignment horizontal="right"/>
    </xf>
    <xf numFmtId="9" fontId="3" fillId="2" borderId="0" xfId="2" applyFont="1" applyFill="1" applyBorder="1"/>
    <xf numFmtId="9" fontId="3" fillId="2" borderId="9" xfId="2" applyFont="1" applyFill="1" applyBorder="1"/>
    <xf numFmtId="168" fontId="0" fillId="2" borderId="9" xfId="2" applyNumberFormat="1" applyFont="1" applyFill="1" applyBorder="1"/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8" fillId="3" borderId="3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95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ichStyles" Target="richData/richStyles.xml"/><Relationship Id="rId5" Type="http://schemas.openxmlformats.org/officeDocument/2006/relationships/theme" Target="theme/theme1.xml"/><Relationship Id="rId15" Type="http://schemas.openxmlformats.org/officeDocument/2006/relationships/calcChain" Target="calcChain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Relationship Id="rId14" Type="http://schemas.microsoft.com/office/2017/06/relationships/rdRichValueTypes" Target="richData/rdRichValueTyp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Market Value vs Intrinsic Value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Market Value vs Intrinsic Value</a:t>
          </a:r>
        </a:p>
      </cx:txPr>
    </cx:title>
    <cx:plotArea>
      <cx:plotAreaRegion>
        <cx:series layoutId="waterfall" uniqueId="{67F76250-D82F-2E4E-BA88-2712553CC642}">
          <cx:dataPt idx="0">
            <cx:spPr>
              <a:solidFill>
                <a:srgbClr val="4472C4">
                  <a:lumMod val="50000"/>
                </a:srgbClr>
              </a:solidFill>
            </cx:spPr>
          </cx:dataPt>
          <cx:dataPt idx="1">
            <cx:spPr>
              <a:solidFill>
                <a:srgbClr val="0095CE"/>
              </a:solidFill>
            </cx:spPr>
          </cx:dataPt>
          <cx:dataPt idx="2">
            <cx:spPr>
              <a:solidFill>
                <a:srgbClr val="FFC000"/>
              </a:solidFill>
            </cx:spPr>
          </cx:dataPt>
          <cx:dataId val="0"/>
          <cx:layoutPr>
            <cx:subtotals>
              <cx:idx val="2"/>
            </cx:subtotals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1016000</xdr:colOff>
      <xdr:row>13</xdr:row>
      <xdr:rowOff>88900</xdr:rowOff>
    </xdr:from>
    <xdr:to>
      <xdr:col>8</xdr:col>
      <xdr:colOff>1143000</xdr:colOff>
      <xdr:row>30</xdr:row>
      <xdr:rowOff>88900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DB057BED-8193-0841-886D-0B19C9B6C3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08500" y="2794000"/>
              <a:ext cx="5791200" cy="345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ations/Microsoft%20Excel.app/Contents/Frameworks/ATP.framework/Resources/en.lproj/FUNCRE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"/>
      <sheetName val="FUNCRES"/>
    </sheetNames>
    <definedNames>
      <definedName name="_xldudf_WISE"/>
      <definedName name="_xldudf_WISEPRICE"/>
    </definedNames>
    <sheetDataSet>
      <sheetData sheetId="0"/>
      <sheetData sheetId="1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6">
  <rv s="0">
    <v>https://www.bing.com/financeapi/forcetrigger?t=r6dwra&amp;q=US10Y&amp;form=skydnc</v>
    <v>Learn more on Bing</v>
  </rv>
  <rv s="1">
    <v>0</v>
    <v>US Treasury 10Y</v>
    <v>2</v>
    <v>3</v>
    <v>Finance</v>
    <v>4</v>
    <v>en-US</v>
    <v>r6dwra</v>
    <v>268435456</v>
    <v>1</v>
    <v>Powered by Refinitiv</v>
    <v>0.4531</v>
    <v>4.5510000000000004E-3</v>
    <v>US</v>
    <v>USD</v>
    <v>Bond</v>
    <v>44424.710439814815</v>
    <v>0</v>
    <v>48075</v>
    <v>US Treasury 10Y</v>
    <v>99.5625</v>
    <v>100.01560000000001</v>
    <v>US10Y</v>
    <v>US Treasury 10Y</v>
    <v>1.299E-2</v>
    <v>1.3169999999999999E-2</v>
    <v>7.0899999999999999E-3</v>
    <v>1.2969999999999999E-2</v>
  </rv>
  <rv s="2">
    <v>1</v>
  </rv>
  <rv s="0">
    <v>https://www.bing.com/financeapi/forcetrigger?t=r6dwr8&amp;q=US5Y&amp;form=skydnc</v>
    <v>Learn more on Bing</v>
  </rv>
  <rv s="1">
    <v>0</v>
    <v>US Treasury 5Y</v>
    <v>2</v>
    <v>3</v>
    <v>Finance</v>
    <v>4</v>
    <v>en-US</v>
    <v>r6dwr8</v>
    <v>268435456</v>
    <v>1</v>
    <v>Powered by Refinitiv</v>
    <v>0.1875</v>
    <v>1.89E-3</v>
    <v>US</v>
    <v>USD</v>
    <v>Bond</v>
    <v>44424.714004629626</v>
    <v>3</v>
    <v>46234</v>
    <v>US Treasury 5Y</v>
    <v>99.210899999999995</v>
    <v>99.398399999999995</v>
    <v>US5Y</v>
    <v>US Treasury 5Y</v>
    <v>7.7800000000000005E-3</v>
    <v>7.92E-3</v>
    <v>2.99E-3</v>
    <v>7.8799999999999999E-3</v>
  </rv>
  <rv s="2">
    <v>4</v>
  </rv>
</rvData>
</file>

<file path=xl/richData/rdrichvaluestructure.xml><?xml version="1.0" encoding="utf-8"?>
<rvStructures xmlns="http://schemas.microsoft.com/office/spreadsheetml/2017/richdata" count="3">
  <s t="_hyperlink">
    <k n="Address" t="s"/>
    <k n="Text" t="s"/>
  </s>
  <s t="_linkedentitycore"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Change"/>
    <k n="Change (%)"/>
    <k n="Country/region" t="s"/>
    <k n="Currency" t="s"/>
    <k n="Instrument type" t="s"/>
    <k n="Last trade time"/>
    <k n="LearnMoreOnLink" t="r"/>
    <k n="Maturity"/>
    <k n="Name" t="s"/>
    <k n="Previous close"/>
    <k n="Price"/>
    <k n="Ticker symbol" t="s"/>
    <k n="UniqueName" t="s"/>
    <k n="Yield last month"/>
    <k n="Yield last week"/>
    <k n="Yield last year"/>
    <k n="Yield yesterday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8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Previous close</v>
      <v t="s">Yield yesterday</v>
      <v t="s">Yield last week</v>
      <v t="s">Yield last month</v>
      <v t="s">Yield last year</v>
      <v t="s">Maturity</v>
      <v t="s">Country/region</v>
      <v t="s">Instrument type</v>
      <v t="s">_Flags</v>
      <v t="s">UniqueName</v>
      <v t="s">_DisplayString</v>
      <v t="s">LearnMoreOnLink</v>
      <v t="s">%ProviderInfo</v>
    </a>
  </spbArrays>
  <spbData count="5">
    <spb s="0">
      <v>0</v>
      <v>Name</v>
      <v>LearnMoreOnLink</v>
    </spb>
    <spb s="1">
      <v>0</v>
      <v>0</v>
      <v>0</v>
    </spb>
    <spb s="2">
      <v>1</v>
      <v>1</v>
      <v>1</v>
    </spb>
    <spb s="3">
      <v>1</v>
      <v>2</v>
      <v>2</v>
      <v>3</v>
      <v>4</v>
      <v>2</v>
      <v>5</v>
      <v>4</v>
      <v>4</v>
      <v>4</v>
      <v>4</v>
      <v>6</v>
    </spb>
    <spb s="4"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`%ProviderInfo" t="spb"/>
    <k n="LearnMoreOnLink" t="spb"/>
  </s>
  <s>
    <k n="Name" t="i"/>
    <k n="Price" t="i"/>
    <k n="Change" t="i"/>
    <k n="Maturity" t="i"/>
    <k n="Change (%)" t="i"/>
    <k n="Previous close" t="i"/>
    <k n="Last trade time" t="i"/>
    <k n="Yield last week" t="i"/>
    <k n="Yield last year" t="i"/>
    <k n="Yield yesterday" t="i"/>
    <k n="Yield last month" t="i"/>
    <k n="`%EntityServiceId" t="i"/>
  </s>
  <s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5">
    <x:dxf>
      <x:numFmt numFmtId="164" formatCode="_([$$-409]* #,##0.00_);_([$$-409]* \(#,##0.00\);_([$$-409]* &quot;-&quot;??_);_(@_)"/>
    </x:dxf>
    <x:dxf>
      <x:numFmt numFmtId="19" formatCode="yyyy/mm/dd"/>
    </x:dxf>
    <x:dxf>
      <x:numFmt numFmtId="14" formatCode="0.00%"/>
    </x:dxf>
    <x:dxf>
      <x:numFmt numFmtId="27" formatCode="yyyy/mm/dd\ h:mm"/>
    </x:dxf>
    <x:dxf>
      <x:numFmt numFmtId="2" formatCode="0.00"/>
    </x:dxf>
  </dxfs>
  <richProperties>
    <rPr n="IsTitleField" t="b"/>
  </richProperties>
  <richStyles>
    <rSty>
      <rpv i="0">1</rpv>
    </rSty>
    <rSty dxfid="0"/>
    <rSty dxfid="1"/>
    <rSty dxfid="2"/>
    <rSty dxfid="3"/>
    <rSty dxfid="4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F530C0D-1E1C-0C44-9282-510AA0FC6AF7}">
  <we:reference id="wa200002252" version="1.0.0.0" store="en-US" storeType="OMEX"/>
  <we:alternateReferences>
    <we:reference id="wa200002252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_xldudf_WISE</we:customFunctionIds>
        <we:customFunctionIds>_xldudf_WISEPRICE</we:customFunctionIds>
      </we:customFunctionIdList>
    </a:ext>
  </we:extLst>
</we:webextension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CCE0B-6E1A-BB49-82C0-31523C1A32BA}">
  <dimension ref="A1:AR37"/>
  <sheetViews>
    <sheetView zoomScale="150" workbookViewId="0">
      <selection activeCell="D18" sqref="D18"/>
    </sheetView>
  </sheetViews>
  <sheetFormatPr baseColWidth="10" defaultColWidth="11" defaultRowHeight="16" x14ac:dyDescent="0.2"/>
  <cols>
    <col min="1" max="1" width="14" bestFit="1" customWidth="1"/>
    <col min="2" max="2" width="16.6640625" bestFit="1" customWidth="1"/>
    <col min="3" max="3" width="19.5" bestFit="1" customWidth="1"/>
    <col min="4" max="4" width="18.5" bestFit="1" customWidth="1"/>
    <col min="5" max="5" width="27.1640625" bestFit="1" customWidth="1"/>
    <col min="6" max="6" width="38.5" bestFit="1" customWidth="1"/>
  </cols>
  <sheetData>
    <row r="1" spans="1:4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</row>
    <row r="2" spans="1:44" x14ac:dyDescent="0.2">
      <c r="A2" s="1"/>
      <c r="B2" s="103" t="s">
        <v>1</v>
      </c>
      <c r="C2" s="104">
        <v>2021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</row>
    <row r="3" spans="1:44" x14ac:dyDescent="0.2">
      <c r="A3" s="1"/>
      <c r="B3" s="103" t="s">
        <v>2</v>
      </c>
      <c r="C3" s="105" t="s">
        <v>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</row>
    <row r="4" spans="1:4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</row>
    <row r="5" spans="1:44" x14ac:dyDescent="0.2">
      <c r="A5" s="1"/>
      <c r="B5" s="16" t="s">
        <v>4</v>
      </c>
      <c r="C5" s="17" t="s">
        <v>153</v>
      </c>
      <c r="D5" s="17" t="s">
        <v>154</v>
      </c>
      <c r="E5" s="17" t="s">
        <v>155</v>
      </c>
      <c r="F5" s="14" t="s">
        <v>156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</row>
    <row r="6" spans="1:44" x14ac:dyDescent="0.2">
      <c r="A6" s="1"/>
      <c r="B6" s="18" t="s">
        <v>5</v>
      </c>
      <c r="C6" s="100" t="str" cm="1">
        <f t="array" ref="C6">[1]!_xldudf_WISEPRICE(C$5,$B6)</f>
        <v>Microsoft Corporation</v>
      </c>
      <c r="D6" s="100" t="str" cm="1">
        <f t="array" ref="D6">[1]!_xldudf_WISEPRICE(D$5,$B6)</f>
        <v>Adobe Inc.</v>
      </c>
      <c r="E6" s="100" t="str" cm="1">
        <f t="array" ref="E6">[1]!_xldudf_WISEPRICE(E$5,$B6)</f>
        <v>NVIDIA Corporation</v>
      </c>
      <c r="F6" s="101" t="str" cm="1">
        <f t="array" ref="F6">[1]!_xldudf_WISEPRICE(F$5,$B6)</f>
        <v>Alphabet Inc.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</row>
    <row r="7" spans="1:44" x14ac:dyDescent="0.2">
      <c r="A7" s="1"/>
      <c r="B7" s="18" t="s">
        <v>6</v>
      </c>
      <c r="C7" s="61" cm="1">
        <f t="array" ref="C7">_xldudf_WISEPRICE(C$5,$B7)</f>
        <v>273.13</v>
      </c>
      <c r="D7" s="61" cm="1">
        <f t="array" ref="D7">_xldudf_WISEPRICE(D$5,$B7)</f>
        <v>390.42</v>
      </c>
      <c r="E7" s="61" cm="1">
        <f t="array" ref="E7">[1]!_xldudf_WISEPRICE(E$5,$B7)</f>
        <v>185.32</v>
      </c>
      <c r="F7" s="34" cm="1">
        <f t="array" ref="F7">[1]!_xldudf_WISEPRICE(F$5,$B7)</f>
        <v>2305.98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</row>
    <row r="8" spans="1:44" x14ac:dyDescent="0.2">
      <c r="A8" s="1"/>
      <c r="B8" s="18" t="s">
        <v>7</v>
      </c>
      <c r="C8" s="61" cm="1">
        <f t="array" ref="C8">_xldudf_WISEPRICE(C$5,$B8)</f>
        <v>28.504176999999999</v>
      </c>
      <c r="D8" s="61" cm="1">
        <f t="array" ref="D8">_xldudf_WISEPRICE(D$5,$B8)</f>
        <v>38.778309999999998</v>
      </c>
      <c r="E8" s="61" cm="1">
        <f t="array" ref="E8">[1]!_xldudf_WISEPRICE(E$5,$B8)</f>
        <v>48.298701999999999</v>
      </c>
      <c r="F8" s="34" cm="1">
        <f t="array" ref="F8">[1]!_xldudf_WISEPRICE(F$5,$B8)</f>
        <v>20.861689999999999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</row>
    <row r="9" spans="1:44" x14ac:dyDescent="0.2">
      <c r="A9" s="1" t="s">
        <v>8</v>
      </c>
      <c r="B9" s="18" t="s">
        <v>9</v>
      </c>
      <c r="C9" s="61" cm="1">
        <f t="array" ref="C9">[1]!_xldudf_WISEPRICE(C$5,$B9)/1000000</f>
        <v>2045290.217472</v>
      </c>
      <c r="D9" s="61" cm="1">
        <f t="array" ref="D9">[1]!_xldudf_WISEPRICE(D$5,$B9)/1000000</f>
        <v>184927.05996799999</v>
      </c>
      <c r="E9" s="61" cm="1">
        <f t="array" ref="E9">[1]!_xldudf_WISEPRICE(E$5,$B9)/1000000</f>
        <v>463387.39404799999</v>
      </c>
      <c r="F9" s="34" cm="1">
        <f t="array" ref="F9">[1]!_xldudf_WISEPRICE(F$5,$B9)/1000000</f>
        <v>1517508.1000959999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</row>
    <row r="10" spans="1:44" x14ac:dyDescent="0.2">
      <c r="A10" s="1"/>
      <c r="B10" s="18" t="s">
        <v>10</v>
      </c>
      <c r="C10" s="61" cm="1">
        <f t="array" ref="C10:C13">_xldudf_WISE(C5, $B$10:$B$13, $C$2, $C$3)</f>
        <v>6.8924716855429713</v>
      </c>
      <c r="D10" s="61" cm="1">
        <f t="array" ref="D10:D13">[1]!_xldudf_WISE(D5, $B$10:$B$13, $C$2, $C$3)</f>
        <v>8.023012552301255</v>
      </c>
      <c r="E10" s="61" cm="1">
        <f t="array" ref="E10:E13">[1]!_xldudf_WISE(E5, $B$10:$B$13, $C$2, $C$3)</f>
        <v>2.6101083032490973</v>
      </c>
      <c r="F10" s="34" cm="1">
        <f t="array" ref="F10:F13">[1]!_xldudf_WISE(F5, $B$10:$B$13, $C$2, $C$3)</f>
        <v>92.502070384089876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</row>
    <row r="11" spans="1:44" x14ac:dyDescent="0.2">
      <c r="A11" s="1"/>
      <c r="B11" s="18" t="s">
        <v>11</v>
      </c>
      <c r="C11" s="70">
        <v>0.14147008848776396</v>
      </c>
      <c r="D11" s="70">
        <v>-1.7925736235595392E-2</v>
      </c>
      <c r="E11" s="70">
        <v>0.1494435612082671</v>
      </c>
      <c r="F11" s="27">
        <v>0.11870412553783852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</row>
    <row r="12" spans="1:44" x14ac:dyDescent="0.2">
      <c r="A12" s="1"/>
      <c r="B12" s="18" t="s">
        <v>12</v>
      </c>
      <c r="C12" s="61">
        <v>2.5</v>
      </c>
      <c r="D12" s="61">
        <v>2.34</v>
      </c>
      <c r="E12" s="61">
        <v>0.95</v>
      </c>
      <c r="F12" s="34">
        <v>27.69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</row>
    <row r="13" spans="1:44" x14ac:dyDescent="0.2">
      <c r="A13" s="1"/>
      <c r="B13" s="15" t="s">
        <v>13</v>
      </c>
      <c r="C13" s="102">
        <v>1.8430465572806952E-3</v>
      </c>
      <c r="D13" s="102" t="str">
        <v>Unavailable</v>
      </c>
      <c r="E13" s="102">
        <v>2.0106932321893708E-4</v>
      </c>
      <c r="F13" s="99" t="str">
        <v>Unavailable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</row>
    <row r="14" spans="1:4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</row>
    <row r="15" spans="1:44" x14ac:dyDescent="0.2">
      <c r="A15" s="1"/>
      <c r="B15" s="107" t="s">
        <v>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</row>
    <row r="16" spans="1:4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</row>
    <row r="17" spans="1:4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</row>
    <row r="18" spans="1:4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</row>
    <row r="19" spans="1:44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</row>
    <row r="20" spans="1:44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</row>
    <row r="21" spans="1:44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</row>
    <row r="22" spans="1:44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</row>
    <row r="23" spans="1:44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</row>
    <row r="24" spans="1:44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</row>
    <row r="25" spans="1:44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</row>
    <row r="26" spans="1:44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</row>
    <row r="27" spans="1:44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</row>
    <row r="28" spans="1:44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</row>
    <row r="29" spans="1:44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</row>
    <row r="30" spans="1:44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</row>
    <row r="31" spans="1:44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</row>
    <row r="32" spans="1:44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</row>
    <row r="33" spans="1:44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</row>
    <row r="34" spans="1:44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</row>
    <row r="35" spans="1:44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</row>
    <row r="36" spans="1:44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</row>
    <row r="37" spans="1:44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BF191-46AB-854B-A026-9D7AFC97DD07}">
  <dimension ref="A1:Z172"/>
  <sheetViews>
    <sheetView zoomScale="117" workbookViewId="0">
      <selection activeCell="C19" sqref="C19"/>
    </sheetView>
  </sheetViews>
  <sheetFormatPr baseColWidth="10" defaultColWidth="11" defaultRowHeight="16" x14ac:dyDescent="0.2"/>
  <cols>
    <col min="1" max="1" width="5" customWidth="1"/>
    <col min="2" max="2" width="41.33203125" bestFit="1" customWidth="1"/>
    <col min="3" max="5" width="22.5" bestFit="1" customWidth="1"/>
    <col min="6" max="6" width="21.1640625" bestFit="1" customWidth="1"/>
    <col min="7" max="7" width="21.33203125" bestFit="1" customWidth="1"/>
    <col min="8" max="10" width="21.1640625" bestFit="1" customWidth="1"/>
    <col min="12" max="12" width="15.6640625" bestFit="1" customWidth="1"/>
    <col min="14" max="14" width="17.1640625" bestFit="1" customWidth="1"/>
  </cols>
  <sheetData>
    <row r="1" spans="1:26" x14ac:dyDescent="0.2">
      <c r="A1" s="40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40"/>
      <c r="B2" s="13" t="s">
        <v>14</v>
      </c>
      <c r="C2" s="87" t="s">
        <v>152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">
      <c r="A3" s="40"/>
      <c r="B3" s="18" t="s">
        <v>15</v>
      </c>
      <c r="C3" s="88" t="s">
        <v>16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40"/>
      <c r="B4" s="18" t="s">
        <v>17</v>
      </c>
      <c r="C4" s="88">
        <v>2021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">
      <c r="A5" s="40"/>
      <c r="B5" s="18" t="s">
        <v>6</v>
      </c>
      <c r="C5" s="89" cm="1">
        <f t="array" ref="C5">[1]!_xldudf_WISEPRICE($C$2,B5)</f>
        <v>156.655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">
      <c r="A6" s="40"/>
      <c r="B6" s="18" t="s">
        <v>18</v>
      </c>
      <c r="C6" s="90" cm="1">
        <f t="array" ref="C6">[1]!_xldudf_WISEPRICE($C$2,B6)</f>
        <v>16185199448</v>
      </c>
      <c r="D6" s="1"/>
      <c r="E6" s="107" t="s">
        <v>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">
      <c r="A7" s="40"/>
      <c r="B7" s="15" t="s">
        <v>19</v>
      </c>
      <c r="C7" s="114">
        <v>0.35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">
      <c r="A8" s="40"/>
      <c r="B8" s="1"/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" customHeight="1" x14ac:dyDescent="0.2">
      <c r="A9" s="40"/>
      <c r="B9" s="120" t="s">
        <v>20</v>
      </c>
      <c r="C9" s="118" t="s">
        <v>21</v>
      </c>
      <c r="D9" s="118"/>
      <c r="E9" s="119"/>
      <c r="F9" s="118" t="s">
        <v>22</v>
      </c>
      <c r="G9" s="118"/>
      <c r="H9" s="118"/>
      <c r="I9" s="118"/>
      <c r="J9" s="119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" customHeight="1" x14ac:dyDescent="0.2">
      <c r="A10" s="40"/>
      <c r="B10" s="121"/>
      <c r="C10" s="19">
        <f>D10-1</f>
        <v>2018</v>
      </c>
      <c r="D10" s="19">
        <f>E10-1</f>
        <v>2019</v>
      </c>
      <c r="E10" s="26">
        <f>F10-1</f>
        <v>2020</v>
      </c>
      <c r="F10" s="19">
        <f>C4</f>
        <v>2021</v>
      </c>
      <c r="G10" s="19">
        <f>F10+1</f>
        <v>2022</v>
      </c>
      <c r="H10" s="19">
        <f>G10+1</f>
        <v>2023</v>
      </c>
      <c r="I10" s="19">
        <f>H10+1</f>
        <v>2024</v>
      </c>
      <c r="J10" s="26">
        <f>I10+1</f>
        <v>2025</v>
      </c>
      <c r="K10" s="1"/>
      <c r="L10" s="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">
      <c r="A11" s="40"/>
      <c r="B11" s="45"/>
      <c r="C11" s="46"/>
      <c r="D11" s="46"/>
      <c r="E11" s="29"/>
      <c r="F11" s="46"/>
      <c r="G11" s="46"/>
      <c r="H11" s="46"/>
      <c r="I11" s="46"/>
      <c r="J11" s="29"/>
      <c r="K11" s="1"/>
      <c r="L11" s="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40"/>
      <c r="B12" s="106" t="s">
        <v>23</v>
      </c>
      <c r="C12" s="48" cm="1">
        <f t="array" ref="C12:E13">_xldudf_WISE($C$2, B12:B13, $C$10:$E$10)</f>
        <v>265595000000</v>
      </c>
      <c r="D12" s="48">
        <v>260174000000</v>
      </c>
      <c r="E12" s="31">
        <v>274515000000</v>
      </c>
      <c r="F12" s="61">
        <f>E12*(1+F13)</f>
        <v>292205625456.76477</v>
      </c>
      <c r="G12" s="48">
        <f>F12*(1+G13)</f>
        <v>301863335932.94336</v>
      </c>
      <c r="H12" s="48">
        <f>G12*(1+H13)</f>
        <v>317219635162.51874</v>
      </c>
      <c r="I12" s="48">
        <f>H12*(1+I13)</f>
        <v>332907834986.80145</v>
      </c>
      <c r="J12" s="31">
        <f>I12*(1+J13)</f>
        <v>347708705863.00116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">
      <c r="A13" s="40"/>
      <c r="B13" s="110" t="s">
        <v>11</v>
      </c>
      <c r="C13" s="108">
        <v>0.15861957650261305</v>
      </c>
      <c r="D13" s="108">
        <v>-2.0410775805267414E-2</v>
      </c>
      <c r="E13" s="109">
        <v>5.5120803769784829E-2</v>
      </c>
      <c r="F13" s="68">
        <f>AVERAGE(C13:E13)</f>
        <v>6.4443201489043492E-2</v>
      </c>
      <c r="G13" s="68">
        <f>AVERAGE(D13:F13)</f>
        <v>3.3051076484520304E-2</v>
      </c>
      <c r="H13" s="68">
        <f>AVERAGE(E13:G13)</f>
        <v>5.0871693914449539E-2</v>
      </c>
      <c r="I13" s="68">
        <f>AVERAGE(F13:H13)</f>
        <v>4.9455323962671112E-2</v>
      </c>
      <c r="J13" s="68">
        <f>AVERAGE(G13:I13)</f>
        <v>4.445936478721365E-2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2">
      <c r="A14" s="40"/>
      <c r="B14" s="45"/>
      <c r="C14" s="70"/>
      <c r="D14" s="10"/>
      <c r="E14" s="22"/>
      <c r="F14" s="10"/>
      <c r="G14" s="10"/>
      <c r="H14" s="10"/>
      <c r="I14" s="46"/>
      <c r="J14" s="29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2">
      <c r="A15" s="40"/>
      <c r="B15" s="106" t="s">
        <v>24</v>
      </c>
      <c r="C15" s="48" cm="1">
        <f t="array" ref="C15:E15">_xldudf_WISE($C$2, B15, $C$10:$E$10)</f>
        <v>163756000000</v>
      </c>
      <c r="D15" s="48">
        <v>161782000000</v>
      </c>
      <c r="E15" s="31">
        <v>169559000000</v>
      </c>
      <c r="F15" s="10">
        <f>F12*F16</f>
        <v>180783008825.54303</v>
      </c>
      <c r="G15" s="10">
        <f>G12*G16</f>
        <v>186971540109.07712</v>
      </c>
      <c r="H15" s="10">
        <f>H12*H16</f>
        <v>196226049044.14859</v>
      </c>
      <c r="I15" s="10">
        <f>I12*I16</f>
        <v>206031843249.05399</v>
      </c>
      <c r="J15" s="22">
        <f>J12*J16</f>
        <v>215215221263.54495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2">
      <c r="A16" s="40"/>
      <c r="B16" s="110" t="s">
        <v>25</v>
      </c>
      <c r="C16" s="108">
        <f>C15/C12</f>
        <v>0.6165628117999209</v>
      </c>
      <c r="D16" s="108">
        <f t="shared" ref="D16:E16" si="0">D15/D12</f>
        <v>0.62182231890965278</v>
      </c>
      <c r="E16" s="109">
        <f t="shared" si="0"/>
        <v>0.61766752272189129</v>
      </c>
      <c r="F16" s="68">
        <f>AVERAGE(C16:E16)</f>
        <v>0.61868421781048832</v>
      </c>
      <c r="G16" s="68">
        <f>AVERAGE(D16:F16)</f>
        <v>0.61939135314734417</v>
      </c>
      <c r="H16" s="68">
        <f>AVERAGE(E16:G16)</f>
        <v>0.6185810312265746</v>
      </c>
      <c r="I16" s="68">
        <f>AVERAGE(F16:H16)</f>
        <v>0.61888553406146896</v>
      </c>
      <c r="J16" s="69">
        <f>AVERAGE(G16:I16)</f>
        <v>0.61895263947846257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2">
      <c r="A17" s="40"/>
      <c r="B17" s="47" t="s">
        <v>26</v>
      </c>
      <c r="C17" s="4" cm="1">
        <f t="array" ref="C17:E18">_xldudf_WISE(C2,B17:B18,C10:E10)</f>
        <v>101839000000</v>
      </c>
      <c r="D17" s="4">
        <v>98392000000</v>
      </c>
      <c r="E17" s="32">
        <v>104956000000</v>
      </c>
      <c r="F17" s="8">
        <f>F12-F15</f>
        <v>111422616631.22174</v>
      </c>
      <c r="G17" s="8">
        <f>G12-G15</f>
        <v>114891795823.86624</v>
      </c>
      <c r="H17" s="8">
        <f>H12-H15</f>
        <v>120993586118.37015</v>
      </c>
      <c r="I17" s="8">
        <f>I12-I15</f>
        <v>126875991737.74747</v>
      </c>
      <c r="J17" s="23">
        <f>J12-J15</f>
        <v>132493484599.45621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2">
      <c r="A18" s="40"/>
      <c r="B18" s="110" t="s">
        <v>27</v>
      </c>
      <c r="C18" s="108">
        <v>0.38343718820007905</v>
      </c>
      <c r="D18" s="115">
        <v>0.37817768109034722</v>
      </c>
      <c r="E18" s="116">
        <v>0.38233247727810865</v>
      </c>
      <c r="F18" s="20">
        <f>F17/F12</f>
        <v>0.38131578218951168</v>
      </c>
      <c r="G18" s="20">
        <f>G17/G12</f>
        <v>0.38060864685265577</v>
      </c>
      <c r="H18" s="20">
        <f>H17/H12</f>
        <v>0.38141896877342546</v>
      </c>
      <c r="I18" s="20">
        <f>I17/I12</f>
        <v>0.3811144659385311</v>
      </c>
      <c r="J18" s="25">
        <f>J17/J12</f>
        <v>0.38104736052153737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">
      <c r="A19" s="40"/>
      <c r="B19" s="45"/>
      <c r="C19" s="71"/>
      <c r="D19" s="72"/>
      <c r="E19" s="33"/>
      <c r="F19" s="72"/>
      <c r="G19" s="72"/>
      <c r="H19" s="72"/>
      <c r="I19" s="73"/>
      <c r="J19" s="74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2">
      <c r="A20" s="40"/>
      <c r="B20" s="75" t="s">
        <v>28</v>
      </c>
      <c r="C20" s="48" cm="1">
        <f t="array" ref="C20:E22">_xldudf_WISE($C$2, $B$20:$B$22, C10:E10)</f>
        <v>14236000000</v>
      </c>
      <c r="D20" s="48">
        <v>16217000000</v>
      </c>
      <c r="E20" s="31">
        <v>18752000000</v>
      </c>
      <c r="F20" s="10">
        <f>F12*F21</f>
        <v>17945451376.281631</v>
      </c>
      <c r="G20" s="10">
        <f>G12*G21</f>
        <v>19324757965.041103</v>
      </c>
      <c r="H20" s="10">
        <f>H12*H21</f>
        <v>20486210788.035194</v>
      </c>
      <c r="I20" s="10">
        <f>I12*I21</f>
        <v>21085554270.143291</v>
      </c>
      <c r="J20" s="22">
        <f>J12*J21</f>
        <v>22245971082.955971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2">
      <c r="A21" s="40"/>
      <c r="B21" s="111" t="s">
        <v>29</v>
      </c>
      <c r="C21" s="70">
        <v>5.3600406634161032E-2</v>
      </c>
      <c r="D21" s="20">
        <v>6.233136285716482E-2</v>
      </c>
      <c r="E21" s="25">
        <v>6.8309564140393061E-2</v>
      </c>
      <c r="F21" s="68">
        <f>AVERAGE(C21:E21)</f>
        <v>6.1413777877239638E-2</v>
      </c>
      <c r="G21" s="68">
        <f>AVERAGEA(D21:F21)</f>
        <v>6.4018234958265849E-2</v>
      </c>
      <c r="H21" s="68">
        <f>AVERAGEA(E21:G21)</f>
        <v>6.4580525658632856E-2</v>
      </c>
      <c r="I21" s="68">
        <f>AVERAGEA(F21:H21)</f>
        <v>6.333751283137945E-2</v>
      </c>
      <c r="J21" s="69">
        <f>AVERAGEA(G21:I21)</f>
        <v>6.3978757816092718E-2</v>
      </c>
      <c r="K21" s="1"/>
      <c r="L21" s="1"/>
      <c r="M21" s="1"/>
      <c r="N21" s="3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2">
      <c r="A22" s="40"/>
      <c r="B22" s="75" t="s">
        <v>157</v>
      </c>
      <c r="C22" s="48">
        <v>16705000000</v>
      </c>
      <c r="D22" s="48">
        <v>18245000000</v>
      </c>
      <c r="E22" s="31">
        <v>19916000000</v>
      </c>
      <c r="F22" s="10">
        <f>F12*F23</f>
        <v>20023140289.495098</v>
      </c>
      <c r="G22" s="10">
        <f>G12*G23</f>
        <v>21251184858.053864</v>
      </c>
      <c r="H22" s="10">
        <f>H12*H23</f>
        <v>22361227985.985031</v>
      </c>
      <c r="I22" s="10">
        <f>I12*I23</f>
        <v>23238684105.575996</v>
      </c>
      <c r="J22" s="22">
        <f>J12*J23</f>
        <v>24420334535.538975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2">
      <c r="A23" s="40"/>
      <c r="B23" s="111" t="s">
        <v>30</v>
      </c>
      <c r="C23" s="108">
        <f>C22/C12</f>
        <v>6.2896515371147807E-2</v>
      </c>
      <c r="D23" s="108">
        <f t="shared" ref="D23:E23" si="1">D22/D12</f>
        <v>7.0126146348213125E-2</v>
      </c>
      <c r="E23" s="109">
        <f t="shared" si="1"/>
        <v>7.2549769593646979E-2</v>
      </c>
      <c r="F23" s="68">
        <f>AVERAGE(C23:E23)</f>
        <v>6.8524143771002646E-2</v>
      </c>
      <c r="G23" s="68">
        <f>AVERAGE(D23:F23)</f>
        <v>7.0400019904287583E-2</v>
      </c>
      <c r="H23" s="68">
        <f>AVERAGE(E23:G23)</f>
        <v>7.0491311089645736E-2</v>
      </c>
      <c r="I23" s="68">
        <f>AVERAGE(F23:H23)</f>
        <v>6.9805158254978655E-2</v>
      </c>
      <c r="J23" s="68">
        <f>AVERAGE(G23:I23)</f>
        <v>7.0232163082970658E-2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2">
      <c r="A24" s="40"/>
      <c r="B24" s="75" t="s">
        <v>31</v>
      </c>
      <c r="C24" s="48" cm="1">
        <f t="array" ref="C24:E24">_xldudf_WISE(C2,B24,C10:E10)</f>
        <v>0</v>
      </c>
      <c r="D24" s="48">
        <v>0</v>
      </c>
      <c r="E24" s="31">
        <v>0</v>
      </c>
      <c r="F24" s="10">
        <f>F12*F25</f>
        <v>0</v>
      </c>
      <c r="G24" s="10">
        <f>G12*G25</f>
        <v>0</v>
      </c>
      <c r="H24" s="10">
        <f>H12*H25</f>
        <v>0</v>
      </c>
      <c r="I24" s="10">
        <f>I12*I25</f>
        <v>0</v>
      </c>
      <c r="J24" s="22">
        <f>J12*J25</f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2">
      <c r="A25" s="40"/>
      <c r="B25" s="110" t="s">
        <v>32</v>
      </c>
      <c r="C25" s="113">
        <f>C24/C12</f>
        <v>0</v>
      </c>
      <c r="D25" s="113">
        <f t="shared" ref="D25:E25" si="2">D24/D12</f>
        <v>0</v>
      </c>
      <c r="E25" s="117">
        <f t="shared" si="2"/>
        <v>0</v>
      </c>
      <c r="F25" s="68">
        <f>AVERAGE(C25:E25)</f>
        <v>0</v>
      </c>
      <c r="G25" s="68">
        <f>AVERAGE(D25:F25)</f>
        <v>0</v>
      </c>
      <c r="H25" s="68">
        <f>AVERAGE(E25:G25)</f>
        <v>0</v>
      </c>
      <c r="I25" s="68">
        <f>AVERAGE(F25:H25)</f>
        <v>0</v>
      </c>
      <c r="J25" s="69">
        <f>AVERAGE(G25:I25)</f>
        <v>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">
      <c r="A26" s="40"/>
      <c r="B26" s="75" t="s">
        <v>33</v>
      </c>
      <c r="C26" s="48" cm="1">
        <f t="array" ref="C26:E27">_xldudf_WISE(C2,B26:B27,C10:E10)</f>
        <v>0</v>
      </c>
      <c r="D26" s="48">
        <v>0</v>
      </c>
      <c r="E26" s="31">
        <v>0</v>
      </c>
      <c r="F26" s="10"/>
      <c r="G26" s="10"/>
      <c r="H26" s="10"/>
      <c r="I26" s="10"/>
      <c r="J26" s="2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">
      <c r="A27" s="40"/>
      <c r="B27" s="76" t="s">
        <v>34</v>
      </c>
      <c r="C27" s="48">
        <v>30941000000</v>
      </c>
      <c r="D27" s="48">
        <v>34462000000</v>
      </c>
      <c r="E27" s="31">
        <v>38668000000</v>
      </c>
      <c r="F27" s="10">
        <f>SUM(F26,F24,F22,F20)</f>
        <v>37968591665.776733</v>
      </c>
      <c r="G27" s="10">
        <f>SUM(G26,G24,G22,G20)</f>
        <v>40575942823.094971</v>
      </c>
      <c r="H27" s="10">
        <f>SUM(H26,H24,H22,H20)</f>
        <v>42847438774.020226</v>
      </c>
      <c r="I27" s="10">
        <f>SUM(I26,I24,I22,I20)</f>
        <v>44324238375.719284</v>
      </c>
      <c r="J27" s="22">
        <f>SUM(J26,J24,J22,J20)</f>
        <v>46666305618.494949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2">
      <c r="A28" s="40"/>
      <c r="B28" s="45"/>
      <c r="C28" s="61"/>
      <c r="D28" s="10"/>
      <c r="E28" s="22"/>
      <c r="F28" s="10"/>
      <c r="G28" s="10"/>
      <c r="H28" s="10"/>
      <c r="I28" s="46"/>
      <c r="J28" s="29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2">
      <c r="A29" s="40"/>
      <c r="B29" s="75" t="s">
        <v>35</v>
      </c>
      <c r="C29" s="48" cm="1">
        <f t="array" ref="C29:E32">_xldudf_WISE($C$2, $B$29:$B$32, C10:E10)</f>
        <v>194697000000</v>
      </c>
      <c r="D29" s="48">
        <v>196244000000</v>
      </c>
      <c r="E29" s="31">
        <v>208227000000</v>
      </c>
      <c r="F29" s="10">
        <f>F27+F15</f>
        <v>218751600491.31976</v>
      </c>
      <c r="G29" s="10">
        <f>G27+G15</f>
        <v>227547482932.17209</v>
      </c>
      <c r="H29" s="10">
        <f>H27+H15</f>
        <v>239073487818.16882</v>
      </c>
      <c r="I29" s="10">
        <f>I27+I15</f>
        <v>250356081624.77325</v>
      </c>
      <c r="J29" s="22">
        <f>J27+J15</f>
        <v>261881526882.03992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2">
      <c r="A30" s="40"/>
      <c r="B30" s="75" t="s">
        <v>36</v>
      </c>
      <c r="C30" s="48">
        <v>87046000000</v>
      </c>
      <c r="D30" s="61">
        <v>81860000000</v>
      </c>
      <c r="E30" s="34">
        <v>81020000000</v>
      </c>
      <c r="F30" s="10">
        <f>F12-F29+F34</f>
        <v>86072565411.151321</v>
      </c>
      <c r="G30" s="10">
        <f>G12-G29+G34</f>
        <v>87566028854.047028</v>
      </c>
      <c r="H30" s="10">
        <f>H12-H29+H34</f>
        <v>91612443795.106583</v>
      </c>
      <c r="I30" s="10">
        <f>I12-I29+I34</f>
        <v>96925538054.673279</v>
      </c>
      <c r="J30" s="22">
        <f>J12-J29+J34</f>
        <v>100839166790.62318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2">
      <c r="A31" s="40"/>
      <c r="B31" s="111" t="s">
        <v>37</v>
      </c>
      <c r="C31" s="48">
        <v>0.32773960353169301</v>
      </c>
      <c r="D31" s="70">
        <v>0.3146355900282119</v>
      </c>
      <c r="E31" s="27">
        <v>0.2951386991603373</v>
      </c>
      <c r="F31" s="10"/>
      <c r="G31" s="10"/>
      <c r="H31" s="10"/>
      <c r="I31" s="46"/>
      <c r="J31" s="29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">
      <c r="A32" s="40"/>
      <c r="B32" s="75" t="s">
        <v>38</v>
      </c>
      <c r="C32" s="48">
        <v>3240000000</v>
      </c>
      <c r="D32" s="61">
        <v>3576000000</v>
      </c>
      <c r="E32" s="34">
        <v>2873000000</v>
      </c>
      <c r="F32" s="10">
        <f>F33*F85</f>
        <v>3375560988.3249083</v>
      </c>
      <c r="G32" s="10">
        <f>G33*G85</f>
        <v>3363922252.316072</v>
      </c>
      <c r="H32" s="10">
        <f>H33*H85</f>
        <v>3204161080.2136602</v>
      </c>
      <c r="I32" s="10">
        <f>I33*I85</f>
        <v>3314548106.9515467</v>
      </c>
      <c r="J32" s="10">
        <f>J33*J85</f>
        <v>3294210479.8270931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2">
      <c r="A33" s="40"/>
      <c r="B33" s="110" t="s">
        <v>39</v>
      </c>
      <c r="C33" s="108">
        <f>C32/C85</f>
        <v>3.456553048487758E-2</v>
      </c>
      <c r="D33" s="108">
        <f t="shared" ref="D33:E33" si="3">D32/D85</f>
        <v>3.895127822497195E-2</v>
      </c>
      <c r="E33" s="109">
        <f t="shared" si="3"/>
        <v>2.9118144871132193E-2</v>
      </c>
      <c r="F33" s="70">
        <f>AVERAGE(C33:E33)</f>
        <v>3.4211651193660576E-2</v>
      </c>
      <c r="G33" s="70">
        <f>AVERAGE(D33:F33)</f>
        <v>3.4093691429921573E-2</v>
      </c>
      <c r="H33" s="70">
        <f>AVERAGE(E33:G33)</f>
        <v>3.247449583157145E-2</v>
      </c>
      <c r="I33" s="70">
        <f>AVERAGE(F33:H33)</f>
        <v>3.3593279485051197E-2</v>
      </c>
      <c r="J33" s="70">
        <f>AVERAGE(G33:I33)</f>
        <v>3.3387155582181409E-2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2">
      <c r="A34" s="40"/>
      <c r="B34" s="75" t="s">
        <v>40</v>
      </c>
      <c r="C34" s="48" cm="1">
        <f t="array" ref="C34:E36">_xldudf_WISE(C2,B34:B36,C10:E10)</f>
        <v>10903000000</v>
      </c>
      <c r="D34" s="61">
        <v>12547000000</v>
      </c>
      <c r="E34" s="34">
        <v>11056000000</v>
      </c>
      <c r="F34" s="61">
        <f>F110</f>
        <v>12618540445.70631</v>
      </c>
      <c r="G34" s="61">
        <f>G110</f>
        <v>13250175853.275751</v>
      </c>
      <c r="H34" s="61">
        <f>H110</f>
        <v>13466296450.756668</v>
      </c>
      <c r="I34" s="61">
        <f>I110</f>
        <v>14373784692.645088</v>
      </c>
      <c r="J34" s="34">
        <f>J110</f>
        <v>15011987809.661943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">
      <c r="A35" s="40"/>
      <c r="B35" s="76" t="s">
        <v>41</v>
      </c>
      <c r="C35" s="6">
        <v>70898000000</v>
      </c>
      <c r="D35" s="6">
        <v>63930000000</v>
      </c>
      <c r="E35" s="35">
        <v>66288000000</v>
      </c>
      <c r="F35" s="8">
        <f>F12-F29</f>
        <v>73454024965.445007</v>
      </c>
      <c r="G35" s="8">
        <f>G12-G29</f>
        <v>74315853000.771271</v>
      </c>
      <c r="H35" s="8">
        <f>H12-H29</f>
        <v>78146147344.349915</v>
      </c>
      <c r="I35" s="8">
        <f>I12-I29</f>
        <v>82551753362.028198</v>
      </c>
      <c r="J35" s="23">
        <f>J12-J29</f>
        <v>85827178980.961243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">
      <c r="A36" s="40"/>
      <c r="B36" s="111" t="s">
        <v>42</v>
      </c>
      <c r="C36" s="70">
        <v>0.26694026619477024</v>
      </c>
      <c r="D36" s="70">
        <v>0.24572017188496928</v>
      </c>
      <c r="E36" s="27">
        <v>0.24147314354406865</v>
      </c>
      <c r="F36" s="10"/>
      <c r="G36" s="10"/>
      <c r="H36" s="10"/>
      <c r="I36" s="46"/>
      <c r="J36" s="29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">
      <c r="A37" s="40"/>
      <c r="B37" s="45"/>
      <c r="C37" s="70"/>
      <c r="D37" s="10"/>
      <c r="E37" s="22"/>
      <c r="F37" s="10"/>
      <c r="G37" s="10"/>
      <c r="H37" s="10"/>
      <c r="I37" s="46"/>
      <c r="J37" s="29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">
      <c r="A38" s="40"/>
      <c r="B38" s="75" t="s">
        <v>43</v>
      </c>
      <c r="C38" s="48" cm="1">
        <f t="array" ref="C38:E42">_xldudf_WISE($C$2, $B$38:$B$42, C10:E10)</f>
        <v>2005000000</v>
      </c>
      <c r="D38" s="48">
        <v>1807000000</v>
      </c>
      <c r="E38" s="31">
        <v>803000000</v>
      </c>
      <c r="F38" s="10"/>
      <c r="G38" s="10"/>
      <c r="H38" s="10"/>
      <c r="I38" s="10"/>
      <c r="J38" s="2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">
      <c r="A39" s="40"/>
      <c r="B39" s="75" t="s">
        <v>44</v>
      </c>
      <c r="C39" s="48">
        <v>72903000000</v>
      </c>
      <c r="D39" s="48">
        <v>65737000000</v>
      </c>
      <c r="E39" s="31">
        <v>67091000000</v>
      </c>
      <c r="F39" s="10">
        <f>F35-F38</f>
        <v>73454024965.445007</v>
      </c>
      <c r="G39" s="10">
        <f>G35-G38</f>
        <v>74315853000.771271</v>
      </c>
      <c r="H39" s="10">
        <f>H35-H38</f>
        <v>78146147344.349915</v>
      </c>
      <c r="I39" s="10">
        <f>I35-I38</f>
        <v>82551753362.028198</v>
      </c>
      <c r="J39" s="22">
        <f>J35-J38</f>
        <v>85827178980.961243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">
      <c r="A40" s="40"/>
      <c r="B40" s="77" t="s">
        <v>45</v>
      </c>
      <c r="C40" s="70">
        <v>0.27448935409175623</v>
      </c>
      <c r="D40" s="70">
        <v>0.25266552384173668</v>
      </c>
      <c r="E40" s="27">
        <v>0.24439830246070343</v>
      </c>
      <c r="F40" s="10"/>
      <c r="G40" s="10"/>
      <c r="H40" s="10"/>
      <c r="I40" s="46"/>
      <c r="J40" s="29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">
      <c r="A41" s="40"/>
      <c r="B41" s="75" t="s">
        <v>46</v>
      </c>
      <c r="C41" s="48">
        <v>13372000000</v>
      </c>
      <c r="D41" s="48">
        <v>10481000000</v>
      </c>
      <c r="E41" s="31">
        <v>9680000000</v>
      </c>
      <c r="F41" s="10">
        <f>F39*$C$7</f>
        <v>25708908737.90575</v>
      </c>
      <c r="G41" s="10">
        <f>G39*$C$7</f>
        <v>26010548550.269943</v>
      </c>
      <c r="H41" s="10">
        <f>H39*$C$7</f>
        <v>27351151570.522469</v>
      </c>
      <c r="I41" s="10">
        <f>I39*$C$7</f>
        <v>28893113676.709869</v>
      </c>
      <c r="J41" s="22">
        <f>J39*$C$7</f>
        <v>30039512643.336433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" thickBot="1" x14ac:dyDescent="0.25">
      <c r="A42" s="40"/>
      <c r="B42" s="76" t="s">
        <v>47</v>
      </c>
      <c r="C42" s="7">
        <v>59531000000</v>
      </c>
      <c r="D42" s="7">
        <v>55256000000</v>
      </c>
      <c r="E42" s="36">
        <v>57411000000</v>
      </c>
      <c r="F42" s="11">
        <f>F39-F41</f>
        <v>47745116227.539261</v>
      </c>
      <c r="G42" s="11">
        <f>G39-G41</f>
        <v>48305304450.501328</v>
      </c>
      <c r="H42" s="11">
        <f>H39-H41</f>
        <v>50794995773.827446</v>
      </c>
      <c r="I42" s="11">
        <f>I39-I41</f>
        <v>53658639685.318329</v>
      </c>
      <c r="J42" s="28">
        <f>J39-J41</f>
        <v>55787666337.624809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7" thickTop="1" x14ac:dyDescent="0.2">
      <c r="A43" s="40"/>
      <c r="B43" s="45"/>
      <c r="C43" s="48"/>
      <c r="D43" s="10"/>
      <c r="E43" s="22"/>
      <c r="F43" s="10"/>
      <c r="G43" s="10"/>
      <c r="H43" s="10"/>
      <c r="I43" s="46"/>
      <c r="J43" s="29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">
      <c r="A44" s="40"/>
      <c r="B44" s="45" t="s">
        <v>12</v>
      </c>
      <c r="C44" s="78" cm="1">
        <f t="array" ref="C44:E44">[1]!_xldudf_WISE($C$2,$B44,C10:E10)</f>
        <v>3.0024999999999999</v>
      </c>
      <c r="D44" s="78">
        <v>2.9925000000000002</v>
      </c>
      <c r="E44" s="37">
        <v>3.31</v>
      </c>
      <c r="F44" s="60">
        <f>F42/$C$6</f>
        <v>2.9499244900215986</v>
      </c>
      <c r="G44" s="60">
        <f>G42/$C$6</f>
        <v>2.9845356311917675</v>
      </c>
      <c r="H44" s="60">
        <f>H42/$C$6</f>
        <v>3.1383608176730973</v>
      </c>
      <c r="I44" s="60">
        <f>I42/$C$6</f>
        <v>3.3152906059460956</v>
      </c>
      <c r="J44" s="30">
        <f>J42/$C$6</f>
        <v>3.4468321825047683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">
      <c r="A45" s="40"/>
      <c r="B45" s="45"/>
      <c r="C45" s="60"/>
      <c r="D45" s="60"/>
      <c r="E45" s="30"/>
      <c r="F45" s="10"/>
      <c r="G45" s="10"/>
      <c r="H45" s="10"/>
      <c r="I45" s="46"/>
      <c r="J45" s="29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">
      <c r="A46" s="40"/>
      <c r="B46" s="45"/>
      <c r="C46" s="10"/>
      <c r="D46" s="10"/>
      <c r="E46" s="22"/>
      <c r="F46" s="10"/>
      <c r="G46" s="10"/>
      <c r="H46" s="10"/>
      <c r="I46" s="46"/>
      <c r="J46" s="29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" customHeight="1" x14ac:dyDescent="0.2">
      <c r="A47" s="40"/>
      <c r="B47" s="121" t="s">
        <v>48</v>
      </c>
      <c r="C47" s="122" t="s">
        <v>21</v>
      </c>
      <c r="D47" s="122"/>
      <c r="E47" s="123"/>
      <c r="F47" s="122" t="s">
        <v>22</v>
      </c>
      <c r="G47" s="122"/>
      <c r="H47" s="122"/>
      <c r="I47" s="122"/>
      <c r="J47" s="123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" customHeight="1" x14ac:dyDescent="0.2">
      <c r="A48" s="40"/>
      <c r="B48" s="121"/>
      <c r="C48" s="19">
        <f>D48-1</f>
        <v>2018</v>
      </c>
      <c r="D48" s="19">
        <f>E48-1</f>
        <v>2019</v>
      </c>
      <c r="E48" s="26">
        <f>F48-1</f>
        <v>2020</v>
      </c>
      <c r="F48" s="19">
        <f>C4</f>
        <v>2021</v>
      </c>
      <c r="G48" s="19">
        <f>F48+1</f>
        <v>2022</v>
      </c>
      <c r="H48" s="19">
        <f>G48+1</f>
        <v>2023</v>
      </c>
      <c r="I48" s="19">
        <f>H48+1</f>
        <v>2024</v>
      </c>
      <c r="J48" s="26">
        <f>I48+1</f>
        <v>2025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">
      <c r="A49" s="40"/>
      <c r="B49" s="45"/>
      <c r="C49" s="10"/>
      <c r="D49" s="10"/>
      <c r="E49" s="22"/>
      <c r="F49" s="10"/>
      <c r="G49" s="10"/>
      <c r="H49" s="10"/>
      <c r="I49" s="46"/>
      <c r="J49" s="29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">
      <c r="A50" s="40"/>
      <c r="B50" s="79" t="s">
        <v>49</v>
      </c>
      <c r="C50" s="10"/>
      <c r="D50" s="10"/>
      <c r="E50" s="22"/>
      <c r="F50" s="10"/>
      <c r="G50" s="10"/>
      <c r="H50" s="10"/>
      <c r="I50" s="46"/>
      <c r="J50" s="29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">
      <c r="A51" s="40"/>
      <c r="B51" s="45"/>
      <c r="C51" s="10"/>
      <c r="D51" s="10"/>
      <c r="E51" s="22"/>
      <c r="F51" s="10"/>
      <c r="G51" s="10"/>
      <c r="H51" s="10"/>
      <c r="I51" s="46"/>
      <c r="J51" s="29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">
      <c r="A52" s="40"/>
      <c r="B52" s="75" t="s">
        <v>50</v>
      </c>
      <c r="C52" s="48" cm="1">
        <f t="array" ref="C52:E55">_xldudf_WISE($C$2, $B$52:$B$55, C48:E48)</f>
        <v>25913000000</v>
      </c>
      <c r="D52" s="48">
        <v>48844000000</v>
      </c>
      <c r="E52" s="31">
        <v>38016000000</v>
      </c>
      <c r="F52" s="10">
        <f>F138</f>
        <v>70337470952.419006</v>
      </c>
      <c r="G52" s="10">
        <f>G138</f>
        <v>126521338376.87321</v>
      </c>
      <c r="H52" s="10">
        <f>H138</f>
        <v>189772002911.92487</v>
      </c>
      <c r="I52" s="10">
        <f>I138</f>
        <v>247628157281.26001</v>
      </c>
      <c r="J52" s="22">
        <f>J138</f>
        <v>310558424413.39331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">
      <c r="A53" s="1"/>
      <c r="B53" s="75" t="s">
        <v>51</v>
      </c>
      <c r="C53" s="48">
        <v>40388000000</v>
      </c>
      <c r="D53" s="10">
        <v>51713000000</v>
      </c>
      <c r="E53" s="22">
        <v>52927000000</v>
      </c>
      <c r="F53" s="10">
        <f t="shared" ref="F53:J54" si="4">AVERAGE(C53:E53)</f>
        <v>48342666666.666664</v>
      </c>
      <c r="G53" s="10">
        <f t="shared" si="4"/>
        <v>50994222222.222221</v>
      </c>
      <c r="H53" s="10">
        <f t="shared" si="4"/>
        <v>50754629629.629631</v>
      </c>
      <c r="I53" s="10">
        <f t="shared" si="4"/>
        <v>50030506172.839508</v>
      </c>
      <c r="J53" s="22">
        <f t="shared" si="4"/>
        <v>50593119341.563782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">
      <c r="A54" s="1"/>
      <c r="B54" s="75" t="s">
        <v>52</v>
      </c>
      <c r="C54" s="48">
        <v>66301000000</v>
      </c>
      <c r="D54" s="10">
        <v>100557000000</v>
      </c>
      <c r="E54" s="22">
        <v>90943000000</v>
      </c>
      <c r="F54" s="10">
        <f t="shared" si="4"/>
        <v>85933666666.666672</v>
      </c>
      <c r="G54" s="10">
        <f t="shared" si="4"/>
        <v>92477888888.888901</v>
      </c>
      <c r="H54" s="10">
        <f t="shared" si="4"/>
        <v>89784851851.851868</v>
      </c>
      <c r="I54" s="10">
        <f t="shared" si="4"/>
        <v>89398802469.135818</v>
      </c>
      <c r="J54" s="22">
        <f t="shared" si="4"/>
        <v>90553847736.625534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">
      <c r="A55" s="1"/>
      <c r="B55" s="75" t="s">
        <v>53</v>
      </c>
      <c r="C55" s="48">
        <v>48995000000</v>
      </c>
      <c r="D55" s="10">
        <v>45804000000</v>
      </c>
      <c r="E55" s="22">
        <v>37445000000</v>
      </c>
      <c r="F55" s="10">
        <f>F56*F12</f>
        <v>48401739935.962074</v>
      </c>
      <c r="G55" s="10">
        <f>G56*G12</f>
        <v>48106787992.651833</v>
      </c>
      <c r="H55" s="10">
        <f>H56*H12</f>
        <v>48789760847.363274</v>
      </c>
      <c r="I55" s="10">
        <f>I56*I12</f>
        <v>53133556313.944572</v>
      </c>
      <c r="J55" s="22">
        <f>J56*J12</f>
        <v>54795979916.604836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">
      <c r="A56" s="1"/>
      <c r="B56" s="110" t="s">
        <v>54</v>
      </c>
      <c r="C56" s="108">
        <f>C55/C12</f>
        <v>0.18447259925826917</v>
      </c>
      <c r="D56" s="108">
        <f t="shared" ref="D56:E56" si="5">D55/D12</f>
        <v>0.17605141174752281</v>
      </c>
      <c r="E56" s="109">
        <f t="shared" si="5"/>
        <v>0.13640420377757134</v>
      </c>
      <c r="F56" s="80">
        <f>AVERAGE(C56:E56)</f>
        <v>0.16564273826112111</v>
      </c>
      <c r="G56" s="80">
        <f>AVERAGE(D56:F56)</f>
        <v>0.15936611792873842</v>
      </c>
      <c r="H56" s="80">
        <f>AVERAGE(E56:G56)</f>
        <v>0.15380435332247697</v>
      </c>
      <c r="I56" s="80">
        <f>AVERAGE(F56:H56)</f>
        <v>0.15960440317077884</v>
      </c>
      <c r="J56" s="80">
        <f>AVERAGE(G56:I56)</f>
        <v>0.15759162480733141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">
      <c r="A57" s="1"/>
      <c r="B57" s="75" t="s">
        <v>55</v>
      </c>
      <c r="C57" s="48" cm="1">
        <f t="array" ref="C57:E57">[1]!_xldudf_WISE($C$2, B57, $C$10:$E$10)</f>
        <v>3956000000</v>
      </c>
      <c r="D57" s="10">
        <v>4106000000</v>
      </c>
      <c r="E57" s="22">
        <v>4061000000</v>
      </c>
      <c r="F57" s="10">
        <f>F58*F12</f>
        <v>4428860108.8739882</v>
      </c>
      <c r="G57" s="10">
        <f>G58*G12</f>
        <v>4601581024.2643957</v>
      </c>
      <c r="H57" s="10">
        <f>H58*H12</f>
        <v>4778801751.506196</v>
      </c>
      <c r="I57" s="10">
        <f>I58*I12</f>
        <v>5045243121.9700222</v>
      </c>
      <c r="J57" s="22">
        <f>J58*J12</f>
        <v>5269368169.0197287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">
      <c r="A58" s="1"/>
      <c r="B58" s="110" t="s">
        <v>56</v>
      </c>
      <c r="C58" s="108">
        <f>C57/C12</f>
        <v>1.4894858713454697E-2</v>
      </c>
      <c r="D58" s="108">
        <f t="shared" ref="D58:E58" si="6">D57/D12</f>
        <v>1.5781746062250648E-2</v>
      </c>
      <c r="E58" s="109">
        <f t="shared" si="6"/>
        <v>1.4793362839917673E-2</v>
      </c>
      <c r="F58" s="80">
        <f>AVERAGE(C58:E58)</f>
        <v>1.515665587187434E-2</v>
      </c>
      <c r="G58" s="80">
        <f>AVERAGE(D58:F58)</f>
        <v>1.5243921591347555E-2</v>
      </c>
      <c r="H58" s="80">
        <f>AVERAGE(E58:G58)</f>
        <v>1.5064646767713191E-2</v>
      </c>
      <c r="I58" s="80">
        <f>AVERAGE(F58:H58)</f>
        <v>1.515507474364503E-2</v>
      </c>
      <c r="J58" s="81">
        <f>AVERAGE(G58:I58)</f>
        <v>1.5154547700901926E-2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">
      <c r="A59" s="1"/>
      <c r="B59" s="75" t="s">
        <v>57</v>
      </c>
      <c r="C59" s="48" cm="1">
        <f t="array" ref="C59:E60">_xldudf_WISE(C2, B59:B60,C48:E48)</f>
        <v>12087000000</v>
      </c>
      <c r="D59" s="10">
        <v>12352000000</v>
      </c>
      <c r="E59" s="22">
        <v>11264000000</v>
      </c>
      <c r="F59" s="10">
        <f>E59</f>
        <v>11264000000</v>
      </c>
      <c r="G59" s="10">
        <f>F59</f>
        <v>11264000000</v>
      </c>
      <c r="H59" s="10">
        <f>G59</f>
        <v>11264000000</v>
      </c>
      <c r="I59" s="10">
        <f>H59</f>
        <v>11264000000</v>
      </c>
      <c r="J59" s="22">
        <f>I59</f>
        <v>11264000000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">
      <c r="A60" s="1"/>
      <c r="B60" s="76" t="s">
        <v>58</v>
      </c>
      <c r="C60" s="6">
        <v>131339000000</v>
      </c>
      <c r="D60" s="6">
        <v>162819000000</v>
      </c>
      <c r="E60" s="35">
        <v>143713000000</v>
      </c>
      <c r="F60" s="8">
        <f>SUM(F59,F57,F55,F52:F54)</f>
        <v>268708404330.58838</v>
      </c>
      <c r="G60" s="8">
        <f>SUM(G59,G57,G55,G52:G54)</f>
        <v>333965818504.90057</v>
      </c>
      <c r="H60" s="8">
        <f>SUM(H59,H57,H55,H52:H54)</f>
        <v>395144046992.27582</v>
      </c>
      <c r="I60" s="8">
        <f>SUM(I59,I57,I55,I52:I54)</f>
        <v>456500265359.14996</v>
      </c>
      <c r="J60" s="23">
        <f>SUM(J59,J57,J55,J52:J54)</f>
        <v>523034739577.20721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">
      <c r="A61" s="1"/>
      <c r="B61" s="45"/>
      <c r="C61" s="10"/>
      <c r="D61" s="10"/>
      <c r="E61" s="22"/>
      <c r="F61" s="10"/>
      <c r="G61" s="10"/>
      <c r="H61" s="10"/>
      <c r="I61" s="46"/>
      <c r="J61" s="29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">
      <c r="A62" s="1"/>
      <c r="B62" s="75" t="s">
        <v>59</v>
      </c>
      <c r="C62" s="48" cm="1">
        <f t="array" ref="C62:E69">_xldudf_WISE($C$2, $B$62:$B$69, C48:E48)</f>
        <v>41304000000</v>
      </c>
      <c r="D62" s="48">
        <v>37378000000</v>
      </c>
      <c r="E62" s="31">
        <v>36766000000</v>
      </c>
      <c r="F62" s="10">
        <f>E62-F141-F110</f>
        <v>32913628317.996632</v>
      </c>
      <c r="G62" s="10">
        <f>F62-G141-G110</f>
        <v>27210035863.044464</v>
      </c>
      <c r="H62" s="10">
        <f>G62-H141-H110</f>
        <v>12794972930.847752</v>
      </c>
      <c r="I62" s="10">
        <f>H62-I141-I110</f>
        <v>533819625.18593407</v>
      </c>
      <c r="J62" s="22">
        <f>I62-J141-J110</f>
        <v>-9405522992.91856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">
      <c r="A63" s="1"/>
      <c r="B63" s="75" t="s">
        <v>60</v>
      </c>
      <c r="C63" s="48">
        <v>0</v>
      </c>
      <c r="D63" s="10">
        <v>0</v>
      </c>
      <c r="E63" s="22">
        <v>0</v>
      </c>
      <c r="F63" s="10"/>
      <c r="G63" s="10"/>
      <c r="H63" s="10"/>
      <c r="I63" s="46"/>
      <c r="J63" s="29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">
      <c r="A64" s="1"/>
      <c r="B64" s="75" t="s">
        <v>61</v>
      </c>
      <c r="C64" s="48">
        <v>0</v>
      </c>
      <c r="D64" s="10">
        <v>0</v>
      </c>
      <c r="E64" s="22">
        <v>0</v>
      </c>
      <c r="F64" s="10"/>
      <c r="G64" s="10"/>
      <c r="H64" s="10"/>
      <c r="I64" s="46"/>
      <c r="J64" s="29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">
      <c r="A65" s="1"/>
      <c r="B65" s="75" t="s">
        <v>62</v>
      </c>
      <c r="C65" s="48">
        <v>0</v>
      </c>
      <c r="D65" s="10">
        <v>0</v>
      </c>
      <c r="E65" s="22">
        <v>0</v>
      </c>
      <c r="F65" s="10"/>
      <c r="G65" s="10"/>
      <c r="H65" s="10"/>
      <c r="I65" s="46"/>
      <c r="J65" s="29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">
      <c r="A66" s="1"/>
      <c r="B66" s="75" t="s">
        <v>63</v>
      </c>
      <c r="C66" s="48">
        <v>170799000000</v>
      </c>
      <c r="D66" s="10">
        <v>105341000000</v>
      </c>
      <c r="E66" s="22">
        <v>100887000000</v>
      </c>
      <c r="F66" s="10"/>
      <c r="G66" s="10"/>
      <c r="H66" s="10"/>
      <c r="I66" s="46"/>
      <c r="J66" s="29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">
      <c r="A67" s="1"/>
      <c r="B67" s="75" t="s">
        <v>64</v>
      </c>
      <c r="C67" s="48">
        <v>0</v>
      </c>
      <c r="D67" s="10">
        <v>0</v>
      </c>
      <c r="E67" s="22">
        <v>0</v>
      </c>
      <c r="F67" s="82"/>
      <c r="G67" s="10"/>
      <c r="H67" s="10"/>
      <c r="I67" s="46"/>
      <c r="J67" s="29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">
      <c r="A68" s="1"/>
      <c r="B68" s="75" t="s">
        <v>65</v>
      </c>
      <c r="C68" s="48">
        <v>22283000000</v>
      </c>
      <c r="D68" s="10">
        <v>32978000000</v>
      </c>
      <c r="E68" s="22">
        <v>42522000000</v>
      </c>
      <c r="F68" s="10">
        <f>E68</f>
        <v>42522000000</v>
      </c>
      <c r="G68" s="10">
        <f>F68</f>
        <v>42522000000</v>
      </c>
      <c r="H68" s="10">
        <f>G68</f>
        <v>42522000000</v>
      </c>
      <c r="I68" s="10">
        <f>H68</f>
        <v>42522000000</v>
      </c>
      <c r="J68" s="22">
        <f>I68</f>
        <v>42522000000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">
      <c r="A69" s="1"/>
      <c r="B69" s="76" t="s">
        <v>66</v>
      </c>
      <c r="C69" s="8">
        <v>234386000000</v>
      </c>
      <c r="D69" s="8">
        <v>175697000000</v>
      </c>
      <c r="E69" s="23">
        <v>180175000000</v>
      </c>
      <c r="F69" s="8">
        <f>SUM(F62:F68)</f>
        <v>75435628317.996628</v>
      </c>
      <c r="G69" s="8">
        <f>SUM(G62:G68)</f>
        <v>69732035863.044464</v>
      </c>
      <c r="H69" s="8">
        <f>SUM(H62:H68)</f>
        <v>55316972930.847748</v>
      </c>
      <c r="I69" s="8">
        <f>SUM(I62:I68)</f>
        <v>43055819625.185936</v>
      </c>
      <c r="J69" s="23">
        <f>SUM(J62:J68)</f>
        <v>33116477007.08144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">
      <c r="A70" s="1"/>
      <c r="B70" s="45"/>
      <c r="C70" s="10"/>
      <c r="D70" s="10"/>
      <c r="E70" s="22"/>
      <c r="F70" s="10"/>
      <c r="G70" s="10"/>
      <c r="H70" s="10"/>
      <c r="I70" s="46"/>
      <c r="J70" s="29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75" t="s">
        <v>67</v>
      </c>
      <c r="C71" s="48" cm="1">
        <f t="array" ref="C71:E72">_xldudf_WISE($C$2, B71:B72, C48:E48)</f>
        <v>0</v>
      </c>
      <c r="D71" s="10">
        <v>0</v>
      </c>
      <c r="E71" s="22">
        <v>0</v>
      </c>
      <c r="F71" s="10">
        <f>E71</f>
        <v>0</v>
      </c>
      <c r="G71" s="10">
        <f>F71</f>
        <v>0</v>
      </c>
      <c r="H71" s="10">
        <f>G71</f>
        <v>0</v>
      </c>
      <c r="I71" s="10">
        <f>H71</f>
        <v>0</v>
      </c>
      <c r="J71" s="22">
        <f>I71</f>
        <v>0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7" thickBot="1" x14ac:dyDescent="0.25">
      <c r="A72" s="1"/>
      <c r="B72" s="76" t="s">
        <v>68</v>
      </c>
      <c r="C72" s="11">
        <v>365725000000</v>
      </c>
      <c r="D72" s="11">
        <v>338516000000</v>
      </c>
      <c r="E72" s="28">
        <v>323888000000</v>
      </c>
      <c r="F72" s="11">
        <f>SUM(F71+F69+F60)</f>
        <v>344144032648.58502</v>
      </c>
      <c r="G72" s="11">
        <f>SUM(G71+G69+G60)</f>
        <v>403697854367.94507</v>
      </c>
      <c r="H72" s="11">
        <f>SUM(H71+H69+H60)</f>
        <v>450461019923.12354</v>
      </c>
      <c r="I72" s="11">
        <f>SUM(I71+I69+I60)</f>
        <v>499556084984.33588</v>
      </c>
      <c r="J72" s="28">
        <f>SUM(J71+J69+J60)</f>
        <v>556151216584.2887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7" thickTop="1" x14ac:dyDescent="0.2">
      <c r="A73" s="1"/>
      <c r="B73" s="45"/>
      <c r="C73" s="10"/>
      <c r="D73" s="10"/>
      <c r="E73" s="22"/>
      <c r="F73" s="10"/>
      <c r="G73" s="10"/>
      <c r="H73" s="10"/>
      <c r="I73" s="46"/>
      <c r="J73" s="29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">
      <c r="A74" s="1"/>
      <c r="B74" s="79" t="s">
        <v>69</v>
      </c>
      <c r="C74" s="10"/>
      <c r="D74" s="10"/>
      <c r="E74" s="22"/>
      <c r="F74" s="10"/>
      <c r="G74" s="10"/>
      <c r="H74" s="10"/>
      <c r="I74" s="46"/>
      <c r="J74" s="29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">
      <c r="A75" s="1"/>
      <c r="B75" s="45"/>
      <c r="C75" s="10"/>
      <c r="D75" s="10"/>
      <c r="E75" s="22"/>
      <c r="F75" s="10"/>
      <c r="G75" s="10"/>
      <c r="H75" s="10"/>
      <c r="I75" s="46"/>
      <c r="J75" s="29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">
      <c r="A76" s="1"/>
      <c r="B76" s="75" t="s">
        <v>70</v>
      </c>
      <c r="C76" s="48" cm="1">
        <f t="array" ref="C76:E76">_xldudf_WISE($C$2, B76, $C$10:$E$10)</f>
        <v>55888000000</v>
      </c>
      <c r="D76" s="48">
        <v>46236000000</v>
      </c>
      <c r="E76" s="31">
        <v>42296000000</v>
      </c>
      <c r="F76" s="10">
        <f>F77*F15</f>
        <v>52820416912.287567</v>
      </c>
      <c r="G76" s="10">
        <f>G77*G15</f>
        <v>51567677421.206688</v>
      </c>
      <c r="H76" s="10">
        <f>H77*H15</f>
        <v>53466878010.225952</v>
      </c>
      <c r="I76" s="10">
        <f>I77*I15</f>
        <v>57720279794.825813</v>
      </c>
      <c r="J76" s="22">
        <f>J77*J15</f>
        <v>59430472968.711845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">
      <c r="A77" s="1"/>
      <c r="B77" s="112" t="s">
        <v>71</v>
      </c>
      <c r="C77" s="108">
        <f>C76/C15</f>
        <v>0.34128825814015973</v>
      </c>
      <c r="D77" s="108">
        <f t="shared" ref="D77:E77" si="7">D76/D15</f>
        <v>0.28579199169252451</v>
      </c>
      <c r="E77" s="109">
        <f t="shared" si="7"/>
        <v>0.24944709511143615</v>
      </c>
      <c r="F77" s="68">
        <f>AVERAGE(C77:E77)</f>
        <v>0.29217578164804009</v>
      </c>
      <c r="G77" s="68">
        <f>AVERAGE(D77:F77)</f>
        <v>0.27580495615066697</v>
      </c>
      <c r="H77" s="68">
        <f>AVERAGE(E77:G77)</f>
        <v>0.27247594430338107</v>
      </c>
      <c r="I77" s="68">
        <f>AVERAGE(F77:H77)</f>
        <v>0.28015222736736273</v>
      </c>
      <c r="J77" s="69">
        <f>AVERAGE(G77:I77)</f>
        <v>0.27614437594047025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">
      <c r="A78" s="1"/>
      <c r="B78" s="75" t="s">
        <v>72</v>
      </c>
      <c r="C78" s="48" cm="1">
        <f t="array" ref="C78:E80">_xldudf_WISE($C$2, B78:B80, $C$10:$E$10)</f>
        <v>20748000000</v>
      </c>
      <c r="D78" s="10">
        <v>16240000000</v>
      </c>
      <c r="E78" s="22">
        <v>13769000000</v>
      </c>
      <c r="F78" s="10">
        <f>E78</f>
        <v>13769000000</v>
      </c>
      <c r="G78" s="10">
        <f>F78</f>
        <v>13769000000</v>
      </c>
      <c r="H78" s="10">
        <f>G78</f>
        <v>13769000000</v>
      </c>
      <c r="I78" s="10">
        <f>H78</f>
        <v>13769000000</v>
      </c>
      <c r="J78" s="22">
        <f>I78</f>
        <v>13769000000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">
      <c r="A79" s="1"/>
      <c r="B79" s="75" t="s">
        <v>73</v>
      </c>
      <c r="C79" s="48">
        <v>0</v>
      </c>
      <c r="D79" s="10">
        <v>0</v>
      </c>
      <c r="E79" s="22">
        <v>0</v>
      </c>
      <c r="F79" s="10"/>
      <c r="G79" s="10"/>
      <c r="H79" s="10"/>
      <c r="I79" s="46"/>
      <c r="J79" s="29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">
      <c r="A80" s="1"/>
      <c r="B80" s="75" t="s">
        <v>74</v>
      </c>
      <c r="C80" s="48">
        <v>7543000000</v>
      </c>
      <c r="D80" s="10">
        <v>5522000000</v>
      </c>
      <c r="E80" s="22">
        <v>6643000000</v>
      </c>
      <c r="F80" s="10">
        <f>F81*F12</f>
        <v>7190565213.5101786</v>
      </c>
      <c r="G80" s="10">
        <f>G81*G12</f>
        <v>7046616622.7618771</v>
      </c>
      <c r="H80" s="10">
        <f>H81*H12</f>
        <v>7629202843.5227776</v>
      </c>
      <c r="I80" s="10">
        <f>I81*I12</f>
        <v>7989993167.8906078</v>
      </c>
      <c r="J80" s="22">
        <f>J81*J12</f>
        <v>8274837864.2308006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">
      <c r="A81" s="1"/>
      <c r="B81" s="112" t="s">
        <v>75</v>
      </c>
      <c r="C81" s="108">
        <f>C80/C12</f>
        <v>2.8400384043374312E-2</v>
      </c>
      <c r="D81" s="108">
        <f t="shared" ref="D81:E81" si="8">D80/D12</f>
        <v>2.1224257612213363E-2</v>
      </c>
      <c r="E81" s="109">
        <f t="shared" si="8"/>
        <v>2.419904194670601E-2</v>
      </c>
      <c r="F81" s="68">
        <f>AVERAGE(C81:E81)</f>
        <v>2.4607894534097896E-2</v>
      </c>
      <c r="G81" s="68">
        <f>AVERAGE(D81:F81)</f>
        <v>2.334373136433909E-2</v>
      </c>
      <c r="H81" s="68">
        <f>AVERAGE(E81:G81)</f>
        <v>2.4050222615047665E-2</v>
      </c>
      <c r="I81" s="68">
        <f>AVERAGE(F81:H81)</f>
        <v>2.4000616171161549E-2</v>
      </c>
      <c r="J81" s="69">
        <f>AVERAGE(G81:I81)</f>
        <v>2.3798190050182768E-2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">
      <c r="A82" s="1"/>
      <c r="B82" s="75" t="s">
        <v>76</v>
      </c>
      <c r="C82" s="48" cm="1">
        <f t="array" ref="C82:E83">_xldudf_WISE(C2,B82:B83,C48:E48)</f>
        <v>32687000000</v>
      </c>
      <c r="D82" s="10">
        <v>37720000000</v>
      </c>
      <c r="E82" s="22">
        <v>42684000000</v>
      </c>
      <c r="F82" s="10"/>
      <c r="G82" s="10"/>
      <c r="H82" s="10"/>
      <c r="I82" s="46"/>
      <c r="J82" s="29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">
      <c r="A83" s="1"/>
      <c r="B83" s="76" t="s">
        <v>77</v>
      </c>
      <c r="C83" s="8">
        <v>116866000000</v>
      </c>
      <c r="D83" s="8">
        <v>105718000000</v>
      </c>
      <c r="E83" s="23">
        <v>105392000000</v>
      </c>
      <c r="F83" s="8">
        <f>SUM(F78:F80,F76,F82)</f>
        <v>73779982125.797745</v>
      </c>
      <c r="G83" s="8">
        <f>SUM(G78:G80,G76,G82)</f>
        <v>72383294043.968567</v>
      </c>
      <c r="H83" s="8">
        <f>SUM(H78:H80,H76,H82)</f>
        <v>74865080853.748734</v>
      </c>
      <c r="I83" s="8">
        <f>SUM(I78:I80,I76,I82)</f>
        <v>79479272962.716431</v>
      </c>
      <c r="J83" s="23">
        <f>SUM(J78:J80,J76,J82)</f>
        <v>81474310832.942642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">
      <c r="A84" s="1"/>
      <c r="B84" s="45"/>
      <c r="C84" s="10"/>
      <c r="D84" s="10"/>
      <c r="E84" s="22"/>
      <c r="F84" s="10"/>
      <c r="G84" s="10"/>
      <c r="H84" s="10"/>
      <c r="I84" s="46"/>
      <c r="J84" s="29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">
      <c r="A85" s="1"/>
      <c r="B85" s="75" t="s">
        <v>78</v>
      </c>
      <c r="C85" s="48" cm="1">
        <f t="array" ref="C85:E86">_xldudf_WISE($C$2, B85:B86, C48:E48)</f>
        <v>93735000000</v>
      </c>
      <c r="D85" s="48">
        <v>91807000000</v>
      </c>
      <c r="E85" s="31">
        <v>98667000000</v>
      </c>
      <c r="F85" s="10">
        <f>E85</f>
        <v>98667000000</v>
      </c>
      <c r="G85" s="10">
        <f>F85</f>
        <v>98667000000</v>
      </c>
      <c r="H85" s="10">
        <f>G85</f>
        <v>98667000000</v>
      </c>
      <c r="I85" s="10">
        <f>H85</f>
        <v>98667000000</v>
      </c>
      <c r="J85" s="22">
        <f>I85</f>
        <v>98667000000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">
      <c r="A86" s="1"/>
      <c r="B86" s="75" t="s">
        <v>79</v>
      </c>
      <c r="C86" s="48">
        <v>2797000000</v>
      </c>
      <c r="D86" s="10">
        <v>0</v>
      </c>
      <c r="E86" s="22">
        <v>0</v>
      </c>
      <c r="F86" s="10">
        <f>F87*F12</f>
        <v>1025746135.2843879</v>
      </c>
      <c r="G86" s="10">
        <f>G87*G12</f>
        <v>353216049.75179112</v>
      </c>
      <c r="H86" s="10">
        <f>H87*H12</f>
        <v>494912998.02724695</v>
      </c>
      <c r="I86" s="10">
        <f>I87*I12</f>
        <v>692518774.23736167</v>
      </c>
      <c r="J86" s="22">
        <f>J87*J12</f>
        <v>557549700.09578037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">
      <c r="A87" s="1"/>
      <c r="B87" s="112" t="s">
        <v>80</v>
      </c>
      <c r="C87" s="108">
        <f>C86/C12</f>
        <v>1.0531071744573505E-2</v>
      </c>
      <c r="D87" s="108">
        <f t="shared" ref="D87:E87" si="9">D86/D12</f>
        <v>0</v>
      </c>
      <c r="E87" s="109">
        <f t="shared" si="9"/>
        <v>0</v>
      </c>
      <c r="F87" s="68">
        <f>AVERAGE(C87:E87)</f>
        <v>3.5103572481911681E-3</v>
      </c>
      <c r="G87" s="68">
        <f>AVERAGE(D87:F87)</f>
        <v>1.1701190827303894E-3</v>
      </c>
      <c r="H87" s="68">
        <f>AVERAGE(E87:G87)</f>
        <v>1.5601587769738525E-3</v>
      </c>
      <c r="I87" s="68">
        <f>AVERAGE(F87:H87)</f>
        <v>2.0802117026318032E-3</v>
      </c>
      <c r="J87" s="68">
        <f>AVERAGE(G87:I87)</f>
        <v>1.6034965207786817E-3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">
      <c r="A88" s="1"/>
      <c r="B88" s="75" t="s">
        <v>81</v>
      </c>
      <c r="C88" s="48" cm="1">
        <f t="array" ref="C88:E90">_xldudf_WISE($C$2, B88:B90, C48:E48)</f>
        <v>426000000</v>
      </c>
      <c r="D88" s="10">
        <v>0</v>
      </c>
      <c r="E88" s="22">
        <v>0</v>
      </c>
      <c r="F88" s="10">
        <f t="shared" ref="F88:J89" si="10">E88</f>
        <v>0</v>
      </c>
      <c r="G88" s="10">
        <f t="shared" si="10"/>
        <v>0</v>
      </c>
      <c r="H88" s="10">
        <f t="shared" si="10"/>
        <v>0</v>
      </c>
      <c r="I88" s="10">
        <f t="shared" si="10"/>
        <v>0</v>
      </c>
      <c r="J88" s="22">
        <f t="shared" si="10"/>
        <v>0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">
      <c r="A89" s="1"/>
      <c r="B89" s="75" t="s">
        <v>82</v>
      </c>
      <c r="C89" s="48">
        <v>44754000000</v>
      </c>
      <c r="D89" s="10">
        <v>50503000000</v>
      </c>
      <c r="E89" s="22">
        <v>54490000000</v>
      </c>
      <c r="F89" s="10">
        <f t="shared" si="10"/>
        <v>54490000000</v>
      </c>
      <c r="G89" s="10">
        <f t="shared" si="10"/>
        <v>54490000000</v>
      </c>
      <c r="H89" s="10">
        <f t="shared" si="10"/>
        <v>54490000000</v>
      </c>
      <c r="I89" s="10">
        <f t="shared" si="10"/>
        <v>54490000000</v>
      </c>
      <c r="J89" s="22">
        <f t="shared" si="10"/>
        <v>54490000000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">
      <c r="A90" s="1"/>
      <c r="B90" s="76" t="s">
        <v>83</v>
      </c>
      <c r="C90" s="48">
        <v>141712000000</v>
      </c>
      <c r="D90" s="10">
        <v>142310000000</v>
      </c>
      <c r="E90" s="22">
        <v>153157000000</v>
      </c>
      <c r="F90" s="10">
        <f>SUM(F88:F89,F85:F86)</f>
        <v>154182746135.28439</v>
      </c>
      <c r="G90" s="10">
        <f>SUM(G88:G89,G85:G86)</f>
        <v>153510216049.7518</v>
      </c>
      <c r="H90" s="10">
        <f>SUM(H88:H89,H85:H86)</f>
        <v>153651912998.02725</v>
      </c>
      <c r="I90" s="10">
        <f>SUM(I88:I89,I85:I86)</f>
        <v>153849518774.23737</v>
      </c>
      <c r="J90" s="22">
        <f>SUM(J88:J89,J85:J86)</f>
        <v>153714549700.09579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">
      <c r="A91" s="1"/>
      <c r="B91" s="45"/>
      <c r="C91" s="10"/>
      <c r="D91" s="10"/>
      <c r="E91" s="22"/>
      <c r="F91" s="10"/>
      <c r="G91" s="10"/>
      <c r="H91" s="10"/>
      <c r="I91" s="46"/>
      <c r="J91" s="29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">
      <c r="A92" s="1"/>
      <c r="B92" s="75" t="s">
        <v>84</v>
      </c>
      <c r="C92" s="48" cm="1">
        <f t="array" ref="C92:E93">_xldudf_WISE($C$2, B92:B93, C48:E48)</f>
        <v>0</v>
      </c>
      <c r="D92" s="10">
        <v>0</v>
      </c>
      <c r="E92" s="22">
        <v>0</v>
      </c>
      <c r="F92" s="10">
        <f>E92</f>
        <v>0</v>
      </c>
      <c r="G92" s="10">
        <f>F92</f>
        <v>0</v>
      </c>
      <c r="H92" s="10">
        <f>G92</f>
        <v>0</v>
      </c>
      <c r="I92" s="10">
        <f>H92</f>
        <v>0</v>
      </c>
      <c r="J92" s="22">
        <f>I92</f>
        <v>0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">
      <c r="A93" s="1"/>
      <c r="B93" s="76" t="s">
        <v>85</v>
      </c>
      <c r="C93" s="8">
        <v>258578000000</v>
      </c>
      <c r="D93" s="8">
        <v>248028000000</v>
      </c>
      <c r="E93" s="23">
        <v>258549000000</v>
      </c>
      <c r="F93" s="8">
        <f>SUM(F90,F83)</f>
        <v>227962728261.08215</v>
      </c>
      <c r="G93" s="8">
        <f>SUM(G90,G83)</f>
        <v>225893510093.72037</v>
      </c>
      <c r="H93" s="8">
        <f>SUM(H90,H83)</f>
        <v>228516993851.776</v>
      </c>
      <c r="I93" s="8">
        <f>SUM(I90,I83)</f>
        <v>233328791736.9538</v>
      </c>
      <c r="J93" s="23">
        <f>SUM(J90,J83)</f>
        <v>235188860533.03845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">
      <c r="A94" s="1"/>
      <c r="B94" s="45"/>
      <c r="C94" s="10"/>
      <c r="D94" s="10"/>
      <c r="E94" s="22"/>
      <c r="F94" s="10"/>
      <c r="G94" s="10"/>
      <c r="H94" s="10"/>
      <c r="I94" s="46"/>
      <c r="J94" s="29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">
      <c r="A95" s="1"/>
      <c r="B95" s="83" t="s">
        <v>86</v>
      </c>
      <c r="C95" s="46"/>
      <c r="D95" s="46"/>
      <c r="E95" s="29"/>
      <c r="F95" s="46"/>
      <c r="G95" s="46"/>
      <c r="H95" s="46"/>
      <c r="I95" s="46"/>
      <c r="J95" s="29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">
      <c r="A96" s="1"/>
      <c r="B96" s="83"/>
      <c r="C96" s="46"/>
      <c r="D96" s="46"/>
      <c r="E96" s="29"/>
      <c r="F96" s="46"/>
      <c r="G96" s="46"/>
      <c r="H96" s="46"/>
      <c r="I96" s="46"/>
      <c r="J96" s="29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7" customHeight="1" x14ac:dyDescent="0.2">
      <c r="A97" s="1"/>
      <c r="B97" s="75" t="s">
        <v>87</v>
      </c>
      <c r="C97" s="48" cm="1">
        <f t="array" ref="C97:E101">_xldudf_WISE($C$2, B97:B101, C48:E48)</f>
        <v>40201000000</v>
      </c>
      <c r="D97" s="48">
        <v>45174000000</v>
      </c>
      <c r="E97" s="31">
        <v>50779000000</v>
      </c>
      <c r="F97" s="10">
        <f>E97</f>
        <v>50779000000</v>
      </c>
      <c r="G97" s="10">
        <f>F97</f>
        <v>50779000000</v>
      </c>
      <c r="H97" s="10">
        <f>G97</f>
        <v>50779000000</v>
      </c>
      <c r="I97" s="10">
        <f>H97</f>
        <v>50779000000</v>
      </c>
      <c r="J97" s="22">
        <f>I97</f>
        <v>50779000000</v>
      </c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">
      <c r="A98" s="1"/>
      <c r="B98" s="75" t="s">
        <v>88</v>
      </c>
      <c r="C98" s="10">
        <v>70400000000</v>
      </c>
      <c r="D98" s="10">
        <v>45898000000</v>
      </c>
      <c r="E98" s="22">
        <v>14966000000</v>
      </c>
      <c r="F98" s="10">
        <f>E98+F42-F132</f>
        <v>62711116227.539261</v>
      </c>
      <c r="G98" s="10">
        <f>F98+G42-G132</f>
        <v>111016420678.04059</v>
      </c>
      <c r="H98" s="10">
        <f>G98+H42-H132</f>
        <v>161811416451.86804</v>
      </c>
      <c r="I98" s="10">
        <f>H98+I42-I132</f>
        <v>215470056137.18637</v>
      </c>
      <c r="J98" s="22">
        <f>I98+J42-J132</f>
        <v>271257722474.81119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">
      <c r="A99" s="1"/>
      <c r="B99" s="75" t="s">
        <v>89</v>
      </c>
      <c r="C99" s="10">
        <v>-3454000000</v>
      </c>
      <c r="D99" s="10">
        <v>-584000000</v>
      </c>
      <c r="E99" s="22">
        <v>-406000000</v>
      </c>
      <c r="F99" s="10">
        <f t="shared" ref="F99:J100" si="11">E99</f>
        <v>-406000000</v>
      </c>
      <c r="G99" s="10">
        <f t="shared" si="11"/>
        <v>-406000000</v>
      </c>
      <c r="H99" s="10">
        <f t="shared" si="11"/>
        <v>-406000000</v>
      </c>
      <c r="I99" s="10">
        <f t="shared" si="11"/>
        <v>-406000000</v>
      </c>
      <c r="J99" s="22">
        <f t="shared" si="11"/>
        <v>-406000000</v>
      </c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">
      <c r="A100" s="1"/>
      <c r="B100" s="75" t="s">
        <v>90</v>
      </c>
      <c r="C100" s="10">
        <v>0</v>
      </c>
      <c r="D100" s="10">
        <v>0</v>
      </c>
      <c r="E100" s="22">
        <v>0</v>
      </c>
      <c r="F100" s="10">
        <f t="shared" si="11"/>
        <v>0</v>
      </c>
      <c r="G100" s="10">
        <f t="shared" si="11"/>
        <v>0</v>
      </c>
      <c r="H100" s="10">
        <f t="shared" si="11"/>
        <v>0</v>
      </c>
      <c r="I100" s="10">
        <f t="shared" si="11"/>
        <v>0</v>
      </c>
      <c r="J100" s="22">
        <f t="shared" si="11"/>
        <v>0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">
      <c r="A101" s="1"/>
      <c r="B101" s="76" t="s">
        <v>91</v>
      </c>
      <c r="C101" s="8">
        <v>107147000000</v>
      </c>
      <c r="D101" s="8">
        <v>90488000000</v>
      </c>
      <c r="E101" s="23">
        <v>65339000000</v>
      </c>
      <c r="F101" s="8">
        <f>SUM(F97:F100)</f>
        <v>113084116227.53926</v>
      </c>
      <c r="G101" s="8">
        <f>SUM(G97:G100)</f>
        <v>161389420678.04059</v>
      </c>
      <c r="H101" s="8">
        <f>SUM(H97:H100)</f>
        <v>212184416451.86804</v>
      </c>
      <c r="I101" s="8">
        <f>SUM(I97:I100)</f>
        <v>265843056137.18637</v>
      </c>
      <c r="J101" s="23">
        <f>SUM(J97:J100)</f>
        <v>321630722474.81116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">
      <c r="A102" s="1"/>
      <c r="B102" s="45"/>
      <c r="C102" s="8"/>
      <c r="D102" s="10"/>
      <c r="E102" s="22"/>
      <c r="F102" s="10"/>
      <c r="G102" s="10"/>
      <c r="H102" s="10"/>
      <c r="I102" s="46"/>
      <c r="J102" s="29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7" thickBot="1" x14ac:dyDescent="0.25">
      <c r="A103" s="1"/>
      <c r="B103" s="84" t="s">
        <v>92</v>
      </c>
      <c r="C103" s="11" cm="1">
        <f t="array" ref="C103:E103">_xldudf_WISE($C$2, B103, $C$10:$E$10)</f>
        <v>365725000000</v>
      </c>
      <c r="D103" s="11">
        <v>338516000000</v>
      </c>
      <c r="E103" s="28">
        <v>323888000000</v>
      </c>
      <c r="F103" s="11">
        <f>SUM(F101,F93)</f>
        <v>341046844488.6214</v>
      </c>
      <c r="G103" s="11">
        <f>SUM(G101,G93)</f>
        <v>387282930771.76099</v>
      </c>
      <c r="H103" s="11">
        <f>SUM(H101,H93)</f>
        <v>440701410303.64404</v>
      </c>
      <c r="I103" s="11">
        <f>SUM(I101,I93)</f>
        <v>499171847874.14014</v>
      </c>
      <c r="J103" s="28">
        <f>SUM(J101,J93)</f>
        <v>556819583007.84961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7" thickTop="1" x14ac:dyDescent="0.2">
      <c r="A104" s="1"/>
      <c r="B104" s="45"/>
      <c r="C104" s="10"/>
      <c r="D104" s="10"/>
      <c r="E104" s="22"/>
      <c r="F104" s="10"/>
      <c r="G104" s="10"/>
      <c r="H104" s="10"/>
      <c r="I104" s="46"/>
      <c r="J104" s="29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7" customHeight="1" x14ac:dyDescent="0.2">
      <c r="A105" s="1"/>
      <c r="B105" s="45"/>
      <c r="C105" s="10"/>
      <c r="D105" s="10"/>
      <c r="E105" s="22"/>
      <c r="F105" s="10"/>
      <c r="G105" s="10"/>
      <c r="H105" s="10"/>
      <c r="I105" s="46"/>
      <c r="J105" s="29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" customHeight="1" x14ac:dyDescent="0.2">
      <c r="A106" s="1"/>
      <c r="B106" s="121" t="s">
        <v>93</v>
      </c>
      <c r="C106" s="122" t="s">
        <v>21</v>
      </c>
      <c r="D106" s="122"/>
      <c r="E106" s="123"/>
      <c r="F106" s="122" t="s">
        <v>22</v>
      </c>
      <c r="G106" s="122"/>
      <c r="H106" s="122"/>
      <c r="I106" s="122"/>
      <c r="J106" s="12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" customHeight="1" x14ac:dyDescent="0.2">
      <c r="A107" s="1"/>
      <c r="B107" s="121"/>
      <c r="C107" s="19">
        <f>D107-1</f>
        <v>2018</v>
      </c>
      <c r="D107" s="19">
        <f>E107-1</f>
        <v>2019</v>
      </c>
      <c r="E107" s="26">
        <f>F107-1</f>
        <v>2020</v>
      </c>
      <c r="F107" s="19">
        <f>C4</f>
        <v>2021</v>
      </c>
      <c r="G107" s="19">
        <f>F107+1</f>
        <v>2022</v>
      </c>
      <c r="H107" s="19">
        <f>G107+1</f>
        <v>2023</v>
      </c>
      <c r="I107" s="19">
        <f>H107+1</f>
        <v>2024</v>
      </c>
      <c r="J107" s="26">
        <f>I107+1</f>
        <v>2025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">
      <c r="A108" s="1"/>
      <c r="B108" s="45"/>
      <c r="C108" s="10"/>
      <c r="D108" s="10"/>
      <c r="E108" s="22"/>
      <c r="F108" s="10"/>
      <c r="G108" s="10"/>
      <c r="H108" s="10"/>
      <c r="I108" s="46"/>
      <c r="J108" s="29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">
      <c r="A109" s="1"/>
      <c r="B109" s="76" t="s">
        <v>47</v>
      </c>
      <c r="C109" s="48" cm="1">
        <f t="array" ref="C109:E110">_xldudf_WISE(C2,B109:B110,C107:E107)</f>
        <v>59531000000</v>
      </c>
      <c r="D109" s="48">
        <v>55256000000</v>
      </c>
      <c r="E109" s="31">
        <v>57411000000</v>
      </c>
      <c r="F109" s="10">
        <f>F42</f>
        <v>47745116227.539261</v>
      </c>
      <c r="G109" s="10">
        <f>G42</f>
        <v>48305304450.501328</v>
      </c>
      <c r="H109" s="10">
        <f>H42</f>
        <v>50794995773.827446</v>
      </c>
      <c r="I109" s="10">
        <f>I42</f>
        <v>53658639685.318329</v>
      </c>
      <c r="J109" s="22">
        <f>J42</f>
        <v>55787666337.624809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">
      <c r="A110" s="1"/>
      <c r="B110" s="75" t="s">
        <v>40</v>
      </c>
      <c r="C110" s="48">
        <v>10903000000</v>
      </c>
      <c r="D110" s="10">
        <v>12547000000</v>
      </c>
      <c r="E110" s="22">
        <v>11056000000</v>
      </c>
      <c r="F110" s="10">
        <f>F111*F12</f>
        <v>12618540445.70631</v>
      </c>
      <c r="G110" s="10">
        <f>G111*G12</f>
        <v>13250175853.275751</v>
      </c>
      <c r="H110" s="10">
        <f>H111*H12</f>
        <v>13466296450.756668</v>
      </c>
      <c r="I110" s="10">
        <f>I111*I12</f>
        <v>14373784692.645088</v>
      </c>
      <c r="J110" s="22">
        <f>J111*J12</f>
        <v>15011987809.661943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">
      <c r="A111" s="1"/>
      <c r="B111" s="110" t="s">
        <v>94</v>
      </c>
      <c r="C111" s="70">
        <f>C110/C12</f>
        <v>4.1051224608897006E-2</v>
      </c>
      <c r="D111" s="70">
        <f t="shared" ref="D111:E111" si="12">D110/D12</f>
        <v>4.8225418373857493E-2</v>
      </c>
      <c r="E111" s="27">
        <f t="shared" si="12"/>
        <v>4.0274666229532081E-2</v>
      </c>
      <c r="F111" s="80">
        <f>AVERAGE(C111:E111)</f>
        <v>4.3183769737428858E-2</v>
      </c>
      <c r="G111" s="80">
        <f>AVERAGE(D111:F111)</f>
        <v>4.3894618113606142E-2</v>
      </c>
      <c r="H111" s="80">
        <f>AVERAGE(E111:G111)</f>
        <v>4.2451018026855691E-2</v>
      </c>
      <c r="I111" s="80">
        <f>AVERAGE(F111:H111)</f>
        <v>4.3176468625963561E-2</v>
      </c>
      <c r="J111" s="81">
        <f>AVERAGE(G111:I111)</f>
        <v>4.31740349221418E-2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">
      <c r="A112" s="1"/>
      <c r="B112" s="75" t="s">
        <v>95</v>
      </c>
      <c r="C112" s="48" cm="1">
        <f t="array" ref="C112:E120">_xldudf_WISE($C$2, $B$112:$B$120, C107:E107)</f>
        <v>-32590000000</v>
      </c>
      <c r="D112" s="48">
        <v>-340000000</v>
      </c>
      <c r="E112" s="31">
        <v>-215000000</v>
      </c>
      <c r="F112" s="10"/>
      <c r="G112" s="10"/>
      <c r="H112" s="10"/>
      <c r="I112" s="46"/>
      <c r="J112" s="29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">
      <c r="A113" s="1"/>
      <c r="B113" s="75" t="s">
        <v>96</v>
      </c>
      <c r="C113" s="10">
        <v>5340000000</v>
      </c>
      <c r="D113" s="10">
        <v>6068000000</v>
      </c>
      <c r="E113" s="22">
        <v>6829000000</v>
      </c>
      <c r="F113" s="10">
        <f>E113</f>
        <v>6829000000</v>
      </c>
      <c r="G113" s="10">
        <f>F113</f>
        <v>6829000000</v>
      </c>
      <c r="H113" s="10">
        <f>G113</f>
        <v>6829000000</v>
      </c>
      <c r="I113" s="10">
        <f>H113</f>
        <v>6829000000</v>
      </c>
      <c r="J113" s="10">
        <f>I113</f>
        <v>6829000000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">
      <c r="A114" s="1"/>
      <c r="B114" s="75" t="s">
        <v>97</v>
      </c>
      <c r="C114" s="10">
        <v>34694000000</v>
      </c>
      <c r="D114" s="10">
        <v>-3488000000</v>
      </c>
      <c r="E114" s="22">
        <v>5690000000</v>
      </c>
      <c r="F114" s="10">
        <f>(E60-E83)-(F60-F83)</f>
        <v>-156607422204.79065</v>
      </c>
      <c r="G114" s="10">
        <f>(F60-F83)-(G60-G83)</f>
        <v>-66654102256.141357</v>
      </c>
      <c r="H114" s="10">
        <f>(G60-G83)-(H60-H83)</f>
        <v>-58696441677.595093</v>
      </c>
      <c r="I114" s="10">
        <f>(H60-H83)-(I60-I83)</f>
        <v>-56742026257.906433</v>
      </c>
      <c r="J114" s="22">
        <f>(I60-I83)-(J60-J83)</f>
        <v>-64539436347.831055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">
      <c r="A115" s="1"/>
      <c r="B115" s="75" t="s">
        <v>98</v>
      </c>
      <c r="C115" s="10">
        <v>-5322000000</v>
      </c>
      <c r="D115" s="10">
        <v>245000000</v>
      </c>
      <c r="E115" s="22">
        <v>6917000000</v>
      </c>
      <c r="F115" s="10">
        <f>E55-F55</f>
        <v>-10956739935.962074</v>
      </c>
      <c r="G115" s="10">
        <f>F55-G55</f>
        <v>294951943.3102417</v>
      </c>
      <c r="H115" s="10">
        <f>G55-H55</f>
        <v>-682972854.71144104</v>
      </c>
      <c r="I115" s="10">
        <f>H55-I55</f>
        <v>-4343795466.5812988</v>
      </c>
      <c r="J115" s="22">
        <f>I55-J55</f>
        <v>-1662423602.6602631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">
      <c r="A116" s="1"/>
      <c r="B116" s="75" t="s">
        <v>55</v>
      </c>
      <c r="C116" s="10">
        <v>3956000000</v>
      </c>
      <c r="D116" s="10">
        <v>4106000000</v>
      </c>
      <c r="E116" s="22">
        <v>4061000000</v>
      </c>
      <c r="F116" s="10">
        <f>E57-F57</f>
        <v>-367860108.87398815</v>
      </c>
      <c r="G116" s="10">
        <f>F57-G57</f>
        <v>-172720915.39040756</v>
      </c>
      <c r="H116" s="10">
        <f>G57-H57</f>
        <v>-177220727.24180031</v>
      </c>
      <c r="I116" s="10">
        <f>H57-I57</f>
        <v>-266441370.46382618</v>
      </c>
      <c r="J116" s="22">
        <f>I57-J57</f>
        <v>-224125047.04970646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">
      <c r="A117" s="1"/>
      <c r="B117" s="75" t="s">
        <v>99</v>
      </c>
      <c r="C117" s="10">
        <v>9175000000</v>
      </c>
      <c r="D117" s="10">
        <v>-1923000000</v>
      </c>
      <c r="E117" s="22">
        <v>-4062000000</v>
      </c>
      <c r="F117" s="10">
        <f>E76-F76</f>
        <v>-10524416912.287567</v>
      </c>
      <c r="G117" s="10">
        <f>F76-G76</f>
        <v>1252739491.0808792</v>
      </c>
      <c r="H117" s="10">
        <f>G76-H76</f>
        <v>-1899200589.0192642</v>
      </c>
      <c r="I117" s="10">
        <f>H76-I76</f>
        <v>-4253401784.5998611</v>
      </c>
      <c r="J117" s="22">
        <f>I76-J76</f>
        <v>-1710193173.8860321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">
      <c r="A118" s="1"/>
      <c r="B118" s="75" t="s">
        <v>100</v>
      </c>
      <c r="C118" s="10">
        <v>-44000000</v>
      </c>
      <c r="D118" s="10">
        <v>-625000000</v>
      </c>
      <c r="E118" s="22">
        <v>2081000000</v>
      </c>
      <c r="F118" s="10"/>
      <c r="G118" s="10"/>
      <c r="H118" s="10"/>
      <c r="I118" s="46"/>
      <c r="J118" s="29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">
      <c r="A119" s="1"/>
      <c r="B119" s="75" t="s">
        <v>101</v>
      </c>
      <c r="C119" s="10">
        <v>-444000000</v>
      </c>
      <c r="D119" s="10">
        <v>-652000000</v>
      </c>
      <c r="E119" s="22">
        <v>-97000000</v>
      </c>
      <c r="F119" s="10">
        <v>0</v>
      </c>
      <c r="G119" s="10">
        <v>0</v>
      </c>
      <c r="H119" s="10">
        <v>0</v>
      </c>
      <c r="I119" s="10">
        <v>0</v>
      </c>
      <c r="J119" s="22">
        <v>0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">
      <c r="A120" s="1"/>
      <c r="B120" s="76" t="s">
        <v>102</v>
      </c>
      <c r="C120" s="8">
        <v>77434000000</v>
      </c>
      <c r="D120" s="8">
        <v>69391000000</v>
      </c>
      <c r="E120" s="23">
        <v>80674000000</v>
      </c>
      <c r="F120" s="8">
        <f>SUM(F109:F110,F115:F119)</f>
        <v>38514639716.121948</v>
      </c>
      <c r="G120" s="8">
        <f>SUM(G109:G110,G115:G119)</f>
        <v>62930450822.777794</v>
      </c>
      <c r="H120" s="8">
        <f>SUM(H109:H110,H115:H119)</f>
        <v>61501898053.61161</v>
      </c>
      <c r="I120" s="8">
        <f>SUM(I109:I110,I115:I119)</f>
        <v>59168785756.318428</v>
      </c>
      <c r="J120" s="23">
        <f>SUM(J109:J110,J115:J119)</f>
        <v>67202912323.69075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">
      <c r="A121" s="1"/>
      <c r="B121" s="45"/>
      <c r="C121" s="12"/>
      <c r="D121" s="12"/>
      <c r="E121" s="24"/>
      <c r="F121" s="10"/>
      <c r="G121" s="10"/>
      <c r="H121" s="10"/>
      <c r="I121" s="46"/>
      <c r="J121" s="29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">
      <c r="A122" s="1"/>
      <c r="B122" s="75" t="s">
        <v>103</v>
      </c>
      <c r="C122" s="48" cm="1">
        <f t="array" ref="C122:E127">_xldudf_WISE($C$2, $B$122:$B$127, C107:E107)</f>
        <v>-13313000000</v>
      </c>
      <c r="D122" s="48">
        <v>-10495000000</v>
      </c>
      <c r="E122" s="31">
        <v>-7309000000</v>
      </c>
      <c r="F122" s="10">
        <f>F141</f>
        <v>-8766168763.7029419</v>
      </c>
      <c r="G122" s="10">
        <f>G141</f>
        <v>-7546583398.3235846</v>
      </c>
      <c r="H122" s="10">
        <f>H141</f>
        <v>948766481.4400456</v>
      </c>
      <c r="I122" s="10">
        <f>I141</f>
        <v>-2112631386.9832711</v>
      </c>
      <c r="J122" s="22">
        <f>J141</f>
        <v>-5072645191.5574493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">
      <c r="A123" s="1"/>
      <c r="B123" s="75" t="s">
        <v>104</v>
      </c>
      <c r="C123" s="10">
        <v>-721000000</v>
      </c>
      <c r="D123" s="10">
        <v>-624000000</v>
      </c>
      <c r="E123" s="22">
        <v>-1524000000</v>
      </c>
      <c r="F123" s="46"/>
      <c r="G123" s="46"/>
      <c r="H123" s="46"/>
      <c r="I123" s="46"/>
      <c r="J123" s="29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">
      <c r="A124" s="1"/>
      <c r="B124" s="75" t="s">
        <v>105</v>
      </c>
      <c r="C124" s="10">
        <v>-73227000000</v>
      </c>
      <c r="D124" s="10">
        <v>-40631000000</v>
      </c>
      <c r="E124" s="22">
        <v>-115148000000</v>
      </c>
      <c r="F124" s="46"/>
      <c r="G124" s="46"/>
      <c r="H124" s="46"/>
      <c r="I124" s="46"/>
      <c r="J124" s="29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">
      <c r="A125" s="1"/>
      <c r="B125" s="75" t="s">
        <v>106</v>
      </c>
      <c r="C125" s="10">
        <v>104072000000</v>
      </c>
      <c r="D125" s="10">
        <v>98724000000</v>
      </c>
      <c r="E125" s="22">
        <v>120483000000</v>
      </c>
      <c r="F125" s="46"/>
      <c r="G125" s="46"/>
      <c r="H125" s="46"/>
      <c r="I125" s="46"/>
      <c r="J125" s="29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">
      <c r="A126" s="1"/>
      <c r="B126" s="75" t="s">
        <v>107</v>
      </c>
      <c r="C126" s="10">
        <v>-745000000</v>
      </c>
      <c r="D126" s="10">
        <v>-1078000000</v>
      </c>
      <c r="E126" s="22">
        <v>-791000000</v>
      </c>
      <c r="F126" s="46"/>
      <c r="G126" s="46"/>
      <c r="H126" s="46"/>
      <c r="I126" s="46"/>
      <c r="J126" s="29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">
      <c r="A127" s="1"/>
      <c r="B127" s="76" t="s">
        <v>108</v>
      </c>
      <c r="C127" s="8">
        <v>16066000000</v>
      </c>
      <c r="D127" s="8">
        <v>45896000000</v>
      </c>
      <c r="E127" s="23">
        <v>-4289000000</v>
      </c>
      <c r="F127" s="8">
        <f>SUM(F122:F126)</f>
        <v>-8766168763.7029419</v>
      </c>
      <c r="G127" s="8">
        <f>SUM(G122:G126)</f>
        <v>-7546583398.3235846</v>
      </c>
      <c r="H127" s="8">
        <f>SUM(H122:H126)</f>
        <v>948766481.4400456</v>
      </c>
      <c r="I127" s="8">
        <f>SUM(I122:I126)</f>
        <v>-2112631386.9832711</v>
      </c>
      <c r="J127" s="23">
        <f>SUM(J122:J126)</f>
        <v>-5072645191.5574493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">
      <c r="A128" s="1"/>
      <c r="B128" s="45"/>
      <c r="C128" s="10"/>
      <c r="D128" s="10"/>
      <c r="E128" s="22"/>
      <c r="F128" s="46"/>
      <c r="G128" s="46"/>
      <c r="H128" s="46"/>
      <c r="I128" s="46"/>
      <c r="J128" s="29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">
      <c r="A129" s="1"/>
      <c r="B129" s="75" t="s">
        <v>109</v>
      </c>
      <c r="C129" s="48" cm="1">
        <f t="array" ref="C129:E134">_xldudf_WISE($C$2, $B$129:$B$134, C107:E107)</f>
        <v>-6500000000</v>
      </c>
      <c r="D129" s="48">
        <v>-8805000000</v>
      </c>
      <c r="E129" s="31">
        <v>-12629000000</v>
      </c>
      <c r="F129" s="61">
        <v>0</v>
      </c>
      <c r="G129" s="61">
        <v>0</v>
      </c>
      <c r="H129" s="61">
        <v>0</v>
      </c>
      <c r="I129" s="61">
        <v>0</v>
      </c>
      <c r="J129" s="34">
        <v>0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">
      <c r="A130" s="1"/>
      <c r="B130" s="75" t="s">
        <v>110</v>
      </c>
      <c r="C130" s="10">
        <v>669000000</v>
      </c>
      <c r="D130" s="10">
        <v>781000000</v>
      </c>
      <c r="E130" s="22">
        <v>880000000</v>
      </c>
      <c r="F130" s="61">
        <v>800000000</v>
      </c>
      <c r="G130" s="61">
        <v>800000000</v>
      </c>
      <c r="H130" s="61">
        <v>800000000</v>
      </c>
      <c r="I130" s="61">
        <v>800000000</v>
      </c>
      <c r="J130" s="34">
        <v>800000000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">
      <c r="A131" s="1"/>
      <c r="B131" s="75" t="s">
        <v>111</v>
      </c>
      <c r="C131" s="10">
        <v>-72738000000</v>
      </c>
      <c r="D131" s="10">
        <v>-66897000000</v>
      </c>
      <c r="E131" s="22">
        <v>-72358000000</v>
      </c>
      <c r="F131" s="61">
        <v>0</v>
      </c>
      <c r="G131" s="61">
        <v>0</v>
      </c>
      <c r="H131" s="61">
        <v>0</v>
      </c>
      <c r="I131" s="61">
        <v>0</v>
      </c>
      <c r="J131" s="34">
        <v>0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">
      <c r="A132" s="1"/>
      <c r="B132" s="75" t="s">
        <v>112</v>
      </c>
      <c r="C132" s="10">
        <v>-13712000000</v>
      </c>
      <c r="D132" s="10">
        <v>-14119000000</v>
      </c>
      <c r="E132" s="22">
        <v>-14081000000</v>
      </c>
      <c r="F132" s="61">
        <v>0</v>
      </c>
      <c r="G132" s="61">
        <v>0</v>
      </c>
      <c r="H132" s="61">
        <v>0</v>
      </c>
      <c r="I132" s="61">
        <v>0</v>
      </c>
      <c r="J132" s="34">
        <v>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">
      <c r="A133" s="1"/>
      <c r="B133" s="75" t="s">
        <v>113</v>
      </c>
      <c r="C133" s="10">
        <v>4405000000</v>
      </c>
      <c r="D133" s="10">
        <v>-1936000000</v>
      </c>
      <c r="E133" s="22">
        <v>11368000000</v>
      </c>
      <c r="F133" s="61">
        <v>0</v>
      </c>
      <c r="G133" s="61">
        <v>0</v>
      </c>
      <c r="H133" s="61">
        <v>0</v>
      </c>
      <c r="I133" s="61">
        <v>0</v>
      </c>
      <c r="J133" s="34">
        <v>0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">
      <c r="A134" s="1"/>
      <c r="B134" s="76" t="s">
        <v>114</v>
      </c>
      <c r="C134" s="8">
        <v>-87876000000</v>
      </c>
      <c r="D134" s="8">
        <v>-90976000000</v>
      </c>
      <c r="E134" s="23">
        <v>-86820000000</v>
      </c>
      <c r="F134" s="21">
        <f>SUM(F129:F133)</f>
        <v>800000000</v>
      </c>
      <c r="G134" s="21">
        <f>SUM(G129:G133)</f>
        <v>800000000</v>
      </c>
      <c r="H134" s="21">
        <f>SUM(H129:H133)</f>
        <v>800000000</v>
      </c>
      <c r="I134" s="21">
        <f>SUM(I129:I133)</f>
        <v>800000000</v>
      </c>
      <c r="J134" s="85">
        <f>SUM(J129:J133)</f>
        <v>800000000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">
      <c r="A135" s="1"/>
      <c r="B135" s="45"/>
      <c r="C135" s="10"/>
      <c r="D135" s="10"/>
      <c r="E135" s="22"/>
      <c r="F135" s="46"/>
      <c r="G135" s="46"/>
      <c r="H135" s="46"/>
      <c r="I135" s="46"/>
      <c r="J135" s="29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">
      <c r="A136" s="1"/>
      <c r="B136" s="75" t="s">
        <v>115</v>
      </c>
      <c r="C136" s="48" cm="1">
        <f t="array" ref="C136:E141">_xldudf_WISE($C$2, $B$136:$B$141, C107:E107)</f>
        <v>0</v>
      </c>
      <c r="D136" s="48">
        <v>0</v>
      </c>
      <c r="E136" s="31">
        <v>0</v>
      </c>
      <c r="F136" s="61">
        <v>0</v>
      </c>
      <c r="G136" s="61">
        <v>0</v>
      </c>
      <c r="H136" s="61">
        <v>0</v>
      </c>
      <c r="I136" s="61">
        <v>0</v>
      </c>
      <c r="J136" s="34">
        <v>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">
      <c r="A137" s="1"/>
      <c r="B137" s="75" t="s">
        <v>116</v>
      </c>
      <c r="C137" s="8">
        <v>5624000000</v>
      </c>
      <c r="D137" s="8">
        <v>24311000000</v>
      </c>
      <c r="E137" s="23">
        <v>-10435000000</v>
      </c>
      <c r="F137" s="21">
        <f>F120+F127+F134</f>
        <v>30548470952.419006</v>
      </c>
      <c r="G137" s="21">
        <f>G120+G127+G134</f>
        <v>56183867424.454208</v>
      </c>
      <c r="H137" s="21">
        <f>H120+H127+H134</f>
        <v>63250664535.051659</v>
      </c>
      <c r="I137" s="21">
        <f>I120+I127+I134</f>
        <v>57856154369.335159</v>
      </c>
      <c r="J137" s="85">
        <f>J120+J127+J134</f>
        <v>62930267132.133301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">
      <c r="A138" s="1"/>
      <c r="B138" s="75" t="s">
        <v>117</v>
      </c>
      <c r="C138" s="10">
        <v>25913000000</v>
      </c>
      <c r="D138" s="10">
        <v>50224000000</v>
      </c>
      <c r="E138" s="22">
        <v>39789000000</v>
      </c>
      <c r="F138" s="60">
        <f>F139+F137</f>
        <v>70337470952.419006</v>
      </c>
      <c r="G138" s="60">
        <f>G139+G137</f>
        <v>126521338376.87321</v>
      </c>
      <c r="H138" s="60">
        <f>H139+H137</f>
        <v>189772002911.92487</v>
      </c>
      <c r="I138" s="60">
        <f>I139+I137</f>
        <v>247628157281.26001</v>
      </c>
      <c r="J138" s="30">
        <f>J139+J137</f>
        <v>310558424413.39331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">
      <c r="A139" s="1"/>
      <c r="B139" s="75" t="s">
        <v>118</v>
      </c>
      <c r="C139" s="10">
        <v>20289000000</v>
      </c>
      <c r="D139" s="10">
        <v>25913000000</v>
      </c>
      <c r="E139" s="22">
        <v>50224000000</v>
      </c>
      <c r="F139" s="10">
        <f>E138</f>
        <v>39789000000</v>
      </c>
      <c r="G139" s="10">
        <f>F138</f>
        <v>70337470952.419006</v>
      </c>
      <c r="H139" s="10">
        <f>G138</f>
        <v>126521338376.87321</v>
      </c>
      <c r="I139" s="10">
        <f>H138</f>
        <v>189772002911.92487</v>
      </c>
      <c r="J139" s="22">
        <f>I138</f>
        <v>247628157281.26001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">
      <c r="A140" s="1"/>
      <c r="B140" s="75" t="s">
        <v>119</v>
      </c>
      <c r="C140" s="10">
        <v>77434000000</v>
      </c>
      <c r="D140" s="10">
        <v>69391000000</v>
      </c>
      <c r="E140" s="22">
        <v>80674000000</v>
      </c>
      <c r="F140" s="10">
        <f>F120</f>
        <v>38514639716.121948</v>
      </c>
      <c r="G140" s="10">
        <f>G120</f>
        <v>62930450822.777794</v>
      </c>
      <c r="H140" s="10">
        <f>H120</f>
        <v>61501898053.61161</v>
      </c>
      <c r="I140" s="10">
        <f>I120</f>
        <v>59168785756.318428</v>
      </c>
      <c r="J140" s="22">
        <f>J120</f>
        <v>67202912323.69075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7" customHeight="1" x14ac:dyDescent="0.2">
      <c r="A141" s="1"/>
      <c r="B141" s="75" t="s">
        <v>120</v>
      </c>
      <c r="C141" s="10">
        <v>-13313000000</v>
      </c>
      <c r="D141" s="10">
        <v>-10495000000</v>
      </c>
      <c r="E141" s="22">
        <v>-7309000000</v>
      </c>
      <c r="F141" s="48">
        <f>-F12*F142</f>
        <v>-8766168763.7029419</v>
      </c>
      <c r="G141" s="48">
        <f>-G12*G142</f>
        <v>-7546583398.3235846</v>
      </c>
      <c r="H141" s="48">
        <f>-H12*H142</f>
        <v>948766481.4400456</v>
      </c>
      <c r="I141" s="48">
        <f>-I12*I142</f>
        <v>-2112631386.9832711</v>
      </c>
      <c r="J141" s="31">
        <f>-J12*J142</f>
        <v>-5072645191.5574493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7" customHeight="1" x14ac:dyDescent="0.2">
      <c r="A142" s="1"/>
      <c r="B142" s="112" t="s">
        <v>121</v>
      </c>
      <c r="C142" s="20">
        <f>C141/C12</f>
        <v>-5.0125190609762983E-2</v>
      </c>
      <c r="D142" s="20">
        <f t="shared" ref="D142:E142" si="13">D141/D12</f>
        <v>-4.033838892433525E-2</v>
      </c>
      <c r="E142" s="25">
        <f t="shared" si="13"/>
        <v>-2.6625138881299748E-2</v>
      </c>
      <c r="F142" s="59">
        <v>0.03</v>
      </c>
      <c r="G142" s="59">
        <v>2.5000000000000001E-2</v>
      </c>
      <c r="H142" s="59">
        <f>AVERAGE(D142:G142)</f>
        <v>-2.9908819514087494E-3</v>
      </c>
      <c r="I142" s="59">
        <f>AVERAGE(E142:H142)</f>
        <v>6.3459947918228753E-3</v>
      </c>
      <c r="J142" s="56">
        <f>AVERAGE(F142:I142)</f>
        <v>1.4588778210103532E-2</v>
      </c>
      <c r="K142" s="5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">
      <c r="A143" s="1"/>
      <c r="B143" s="86" t="s">
        <v>122</v>
      </c>
      <c r="C143" s="8" cm="1">
        <f t="array" ref="C143:E143">_xldudf_WISE($C$2, B143, $C$10:$E$10)</f>
        <v>64121000000</v>
      </c>
      <c r="D143" s="8">
        <v>58896000000</v>
      </c>
      <c r="E143" s="23">
        <v>73365000000</v>
      </c>
      <c r="F143" s="8">
        <f>SUM(F140:F141)</f>
        <v>29748470952.419006</v>
      </c>
      <c r="G143" s="8">
        <f>G39+G110-G114-G141</f>
        <v>161766714508.51196</v>
      </c>
      <c r="H143" s="8">
        <f>H39+H110-H114-H141</f>
        <v>149360118991.26163</v>
      </c>
      <c r="I143" s="8">
        <f>I39+I110-I114-I141</f>
        <v>155780195699.56299</v>
      </c>
      <c r="J143" s="23">
        <f>J39+J110-J114-J141</f>
        <v>170451248330.01166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">
      <c r="A144" s="1"/>
      <c r="B144" s="1"/>
      <c r="C144" s="1"/>
      <c r="D144" s="1"/>
      <c r="E144" s="1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</sheetData>
  <mergeCells count="9">
    <mergeCell ref="C9:E9"/>
    <mergeCell ref="F9:J9"/>
    <mergeCell ref="B9:B10"/>
    <mergeCell ref="B106:B107"/>
    <mergeCell ref="C106:E106"/>
    <mergeCell ref="F106:J106"/>
    <mergeCell ref="B47:B48"/>
    <mergeCell ref="C47:E47"/>
    <mergeCell ref="F47:J47"/>
  </mergeCells>
  <pageMargins left="0.7" right="0.7" top="0.75" bottom="0.75" header="0.3" footer="0.3"/>
  <ignoredErrors>
    <ignoredError sqref="F22:J22 F57:J57 G55:J55 F86:J86 F98 G98:J98 F24:J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0F0E-1781-1046-942B-C56D5942FA35}">
  <dimension ref="A1:BR265"/>
  <sheetViews>
    <sheetView tabSelected="1" topLeftCell="H1" zoomScale="116" workbookViewId="0">
      <selection activeCell="J21" sqref="J21"/>
    </sheetView>
  </sheetViews>
  <sheetFormatPr baseColWidth="10" defaultColWidth="11" defaultRowHeight="16" x14ac:dyDescent="0.2"/>
  <cols>
    <col min="1" max="1" width="4.5" customWidth="1"/>
    <col min="4" max="4" width="19.33203125" customWidth="1"/>
    <col min="5" max="5" width="17.83203125" bestFit="1" customWidth="1"/>
    <col min="6" max="8" width="18.83203125" bestFit="1" customWidth="1"/>
    <col min="9" max="9" width="19.83203125" bestFit="1" customWidth="1"/>
    <col min="11" max="11" width="12.83203125" customWidth="1"/>
    <col min="12" max="12" width="13.5" customWidth="1"/>
    <col min="13" max="13" width="24" bestFit="1" customWidth="1"/>
    <col min="15" max="15" width="20.1640625" customWidth="1"/>
    <col min="16" max="16" width="23.83203125" customWidth="1"/>
    <col min="18" max="18" width="23" bestFit="1" customWidth="1"/>
    <col min="19" max="19" width="19.83203125" bestFit="1" customWidth="1"/>
  </cols>
  <sheetData>
    <row r="1" spans="1:70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</row>
    <row r="2" spans="1:70" ht="21" x14ac:dyDescent="0.25">
      <c r="A2" s="1"/>
      <c r="B2" s="124" t="s">
        <v>123</v>
      </c>
      <c r="C2" s="124"/>
      <c r="D2" s="124"/>
      <c r="E2" s="38" t="str" cm="1">
        <f t="array" ref="E2">[1]!_xldudf_WISEPRICE('Statements Model'!C2,"Name")</f>
        <v>Apple Inc.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x14ac:dyDescent="0.2">
      <c r="A3" s="1"/>
      <c r="B3" s="1"/>
      <c r="C3" s="1"/>
      <c r="D3" s="1"/>
      <c r="E3" s="1" t="str">
        <f>'Statements Model'!C2</f>
        <v>AAPL</v>
      </c>
      <c r="F3" s="1"/>
      <c r="G3" s="107" t="s">
        <v>0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x14ac:dyDescent="0.2">
      <c r="A5" s="1"/>
      <c r="B5" s="41" t="s">
        <v>124</v>
      </c>
      <c r="C5" s="42"/>
      <c r="D5" s="42"/>
      <c r="E5" s="125" t="s">
        <v>22</v>
      </c>
      <c r="F5" s="125"/>
      <c r="G5" s="125"/>
      <c r="H5" s="125"/>
      <c r="I5" s="126"/>
      <c r="J5" s="1"/>
      <c r="K5" s="41" t="s">
        <v>125</v>
      </c>
      <c r="L5" s="53"/>
      <c r="M5" s="54"/>
      <c r="N5" s="39"/>
      <c r="O5" s="41" t="s">
        <v>126</v>
      </c>
      <c r="P5" s="54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x14ac:dyDescent="0.2">
      <c r="A6" s="1"/>
      <c r="B6" s="18"/>
      <c r="C6" s="19"/>
      <c r="D6" s="19">
        <f>'Statements Model'!E10</f>
        <v>2020</v>
      </c>
      <c r="E6" s="43">
        <f>'Statements Model'!F107</f>
        <v>2021</v>
      </c>
      <c r="F6" s="43">
        <f>'Statements Model'!G107</f>
        <v>2022</v>
      </c>
      <c r="G6" s="43">
        <f>'Statements Model'!H107</f>
        <v>2023</v>
      </c>
      <c r="H6" s="43">
        <f>'Statements Model'!I107</f>
        <v>2024</v>
      </c>
      <c r="I6" s="44">
        <f>'Statements Model'!J107</f>
        <v>2025</v>
      </c>
      <c r="J6" s="1"/>
      <c r="K6" s="55"/>
      <c r="L6" s="43"/>
      <c r="M6" s="44"/>
      <c r="N6" s="39"/>
      <c r="O6" s="55"/>
      <c r="P6" s="9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</row>
    <row r="7" spans="1:70" x14ac:dyDescent="0.2">
      <c r="A7" s="1"/>
      <c r="B7" s="45"/>
      <c r="C7" s="46"/>
      <c r="D7" s="46"/>
      <c r="E7" s="46"/>
      <c r="F7" s="46"/>
      <c r="G7" s="46"/>
      <c r="H7" s="46"/>
      <c r="I7" s="29"/>
      <c r="J7" s="1"/>
      <c r="K7" s="45" t="s">
        <v>127</v>
      </c>
      <c r="L7" s="46"/>
      <c r="M7" s="81">
        <f>P24</f>
        <v>0.14126624245780459</v>
      </c>
      <c r="N7" s="1"/>
      <c r="O7" s="45" t="e" vm="1">
        <v>#VALUE!</v>
      </c>
      <c r="P7" s="56" cm="1">
        <f t="array" ref="P7">_FV(O7,"Yield yesterday",TRUE)</f>
        <v>1.2969999999999999E-2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</row>
    <row r="8" spans="1:70" x14ac:dyDescent="0.2">
      <c r="A8" s="1"/>
      <c r="B8" s="47" t="s">
        <v>36</v>
      </c>
      <c r="C8" s="46"/>
      <c r="D8" s="46"/>
      <c r="E8" s="48">
        <f>'Statements Model'!F35</f>
        <v>73454024965.445007</v>
      </c>
      <c r="F8" s="48">
        <f>'Statements Model'!G35</f>
        <v>74315853000.771271</v>
      </c>
      <c r="G8" s="48">
        <f>'Statements Model'!H35</f>
        <v>78146147344.349915</v>
      </c>
      <c r="H8" s="48">
        <f>'Statements Model'!I35</f>
        <v>82551753362.028198</v>
      </c>
      <c r="I8" s="31">
        <f>'Statements Model'!J35</f>
        <v>85827178980.961243</v>
      </c>
      <c r="J8" s="1"/>
      <c r="K8" s="45"/>
      <c r="L8" s="46"/>
      <c r="M8" s="29"/>
      <c r="N8" s="1"/>
      <c r="O8" s="45" t="e" vm="2">
        <v>#VALUE!</v>
      </c>
      <c r="P8" s="56" cm="1">
        <f t="array" ref="P8">_FV(O8,"Yield yesterday",TRUE)</f>
        <v>7.8799999999999999E-3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</row>
    <row r="9" spans="1:70" x14ac:dyDescent="0.2">
      <c r="A9" s="1"/>
      <c r="B9" s="45"/>
      <c r="C9" s="46"/>
      <c r="D9" s="46"/>
      <c r="E9" s="46"/>
      <c r="F9" s="46"/>
      <c r="G9" s="46"/>
      <c r="H9" s="46"/>
      <c r="I9" s="29"/>
      <c r="J9" s="1"/>
      <c r="K9" s="45" t="s">
        <v>128</v>
      </c>
      <c r="L9" s="46"/>
      <c r="M9" s="65">
        <v>0.13900000000000001</v>
      </c>
      <c r="N9" s="1"/>
      <c r="O9" s="45"/>
      <c r="P9" s="56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</row>
    <row r="10" spans="1:70" x14ac:dyDescent="0.2">
      <c r="A10" s="1"/>
      <c r="B10" s="47" t="s">
        <v>122</v>
      </c>
      <c r="C10" s="46"/>
      <c r="D10" s="46"/>
      <c r="E10" s="48">
        <f>'Statements Model'!F143</f>
        <v>29748470952.419006</v>
      </c>
      <c r="F10" s="48">
        <f>'Statements Model'!G143</f>
        <v>161766714508.51196</v>
      </c>
      <c r="G10" s="48">
        <f>'Statements Model'!H143</f>
        <v>149360118991.26163</v>
      </c>
      <c r="H10" s="48">
        <f>'Statements Model'!I143</f>
        <v>155780195699.56299</v>
      </c>
      <c r="I10" s="31">
        <f>'Statements Model'!J143</f>
        <v>170451248330.01166</v>
      </c>
      <c r="J10" s="1"/>
      <c r="K10" s="45" t="s">
        <v>129</v>
      </c>
      <c r="L10" s="46"/>
      <c r="M10" s="30">
        <f>I10*(1+M9)/(M7-M9)</f>
        <v>85667785094786.625</v>
      </c>
      <c r="N10" s="1"/>
      <c r="O10" s="45" t="s">
        <v>130</v>
      </c>
      <c r="P10" s="27">
        <f>AVERAGE(P7:P8)</f>
        <v>1.0425E-2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</row>
    <row r="11" spans="1:70" x14ac:dyDescent="0.2">
      <c r="A11" s="1"/>
      <c r="B11" s="49" t="s">
        <v>131</v>
      </c>
      <c r="C11" s="50"/>
      <c r="D11" s="50"/>
      <c r="E11" s="51">
        <f>E10/((1+$M$7)^5)</f>
        <v>15364901872.960384</v>
      </c>
      <c r="F11" s="51">
        <f>F10/((1+$M$7)^5)</f>
        <v>83551510889.75119</v>
      </c>
      <c r="G11" s="51">
        <f>G10/((1+$M$7)^5)</f>
        <v>77143580781.17662</v>
      </c>
      <c r="H11" s="51">
        <f>H10/((1+$M$7)^5)</f>
        <v>80459510826.714233</v>
      </c>
      <c r="I11" s="52">
        <f>I10/((1+$M$7)^5)</f>
        <v>88037019075.807983</v>
      </c>
      <c r="J11" s="1"/>
      <c r="K11" s="45"/>
      <c r="L11" s="46"/>
      <c r="M11" s="29"/>
      <c r="N11" s="1"/>
      <c r="O11" s="45" t="s">
        <v>132</v>
      </c>
      <c r="P11" s="92">
        <v>1.96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</row>
    <row r="12" spans="1:7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45" t="s">
        <v>133</v>
      </c>
      <c r="L12" s="46"/>
      <c r="M12" s="57">
        <f>M10/((1+M7)^5)</f>
        <v>44246882932590.57</v>
      </c>
      <c r="N12" s="1"/>
      <c r="O12" s="45" t="s">
        <v>134</v>
      </c>
      <c r="P12" s="93">
        <v>0.08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</row>
    <row r="13" spans="1:7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45" t="s">
        <v>135</v>
      </c>
      <c r="L13" s="46"/>
      <c r="M13" s="22">
        <f>SUM(E11:I11)</f>
        <v>344556523446.4104</v>
      </c>
      <c r="N13" s="1"/>
      <c r="O13" s="94" t="s">
        <v>136</v>
      </c>
      <c r="P13" s="95">
        <f>P10+P11*(P12-P10)</f>
        <v>0.14679199999999998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</row>
    <row r="14" spans="1:7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47" t="s">
        <v>137</v>
      </c>
      <c r="L14" s="46"/>
      <c r="M14" s="58">
        <f>SUM(M12:M13)</f>
        <v>44591439456036.984</v>
      </c>
      <c r="N14" s="1"/>
      <c r="O14" s="45"/>
      <c r="P14" s="29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</row>
    <row r="15" spans="1:7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45"/>
      <c r="L15" s="46"/>
      <c r="M15" s="29"/>
      <c r="N15" s="1"/>
      <c r="O15" s="45" t="s">
        <v>138</v>
      </c>
      <c r="P15" s="96">
        <v>0.35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</row>
    <row r="16" spans="1:70" x14ac:dyDescent="0.2">
      <c r="A16" s="1"/>
      <c r="B16" s="41" t="s">
        <v>139</v>
      </c>
      <c r="C16" s="42"/>
      <c r="D16" s="66"/>
      <c r="E16" s="1"/>
      <c r="F16" s="1"/>
      <c r="G16" s="1"/>
      <c r="H16" s="1"/>
      <c r="I16" s="1"/>
      <c r="J16" s="1"/>
      <c r="K16" s="45" t="s">
        <v>140</v>
      </c>
      <c r="L16" s="46"/>
      <c r="M16" s="29"/>
      <c r="N16" s="1"/>
      <c r="O16" s="45" t="s">
        <v>9</v>
      </c>
      <c r="P16" s="34" cm="1">
        <f t="array" ref="P16">[1]!_xldudf_WISEPRICE('Statements Model'!C2,DCF!O16)</f>
        <v>2535492419584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</row>
    <row r="17" spans="1:70" x14ac:dyDescent="0.2">
      <c r="A17" s="1"/>
      <c r="B17" s="18"/>
      <c r="C17" s="19"/>
      <c r="D17" s="26"/>
      <c r="E17" s="1"/>
      <c r="F17" s="1"/>
      <c r="G17" s="1"/>
      <c r="H17" s="1"/>
      <c r="I17" s="1"/>
      <c r="J17" s="1"/>
      <c r="K17" s="47" t="s">
        <v>141</v>
      </c>
      <c r="L17" s="46"/>
      <c r="M17" s="57">
        <f>M14-M16</f>
        <v>44591439456036.984</v>
      </c>
      <c r="N17" s="1"/>
      <c r="O17" s="45" t="s">
        <v>142</v>
      </c>
      <c r="P17" s="34" cm="1">
        <f t="array" ref="P17">[1]!_xldudf_WISE($E$3,O17,$D$6)</f>
        <v>38016000000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</row>
    <row r="18" spans="1:70" x14ac:dyDescent="0.2">
      <c r="A18" s="1"/>
      <c r="B18" s="45" t="s">
        <v>143</v>
      </c>
      <c r="C18" s="46"/>
      <c r="D18" s="30">
        <f>M20</f>
        <v>156.655</v>
      </c>
      <c r="E18" s="1"/>
      <c r="F18" s="1"/>
      <c r="G18" s="1"/>
      <c r="H18" s="1"/>
      <c r="I18" s="1"/>
      <c r="J18" s="1"/>
      <c r="K18" s="45"/>
      <c r="L18" s="46"/>
      <c r="M18" s="29"/>
      <c r="N18" s="1"/>
      <c r="O18" s="45" t="s">
        <v>144</v>
      </c>
      <c r="P18" s="34" cm="1">
        <f t="array" ref="P18">[1]!_xldudf_WISE($E$3,O18,$D$6)</f>
        <v>112436000000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</row>
    <row r="19" spans="1:70" x14ac:dyDescent="0.2">
      <c r="A19" s="1"/>
      <c r="B19" s="45" t="str">
        <f>IF(M22&gt;0,"Upside","Downside")</f>
        <v>Upside</v>
      </c>
      <c r="C19" s="46"/>
      <c r="D19" s="30">
        <f>M22</f>
        <v>2598.4200671501385</v>
      </c>
      <c r="E19" s="1"/>
      <c r="F19" s="1"/>
      <c r="G19" s="1"/>
      <c r="H19" s="1"/>
      <c r="I19" s="1"/>
      <c r="J19" s="1"/>
      <c r="K19" s="47" t="s">
        <v>145</v>
      </c>
      <c r="L19" s="46"/>
      <c r="M19" s="34">
        <f>M17/'Statements Model'!C6</f>
        <v>2755.0750671501387</v>
      </c>
      <c r="N19" s="1"/>
      <c r="O19" s="94" t="s">
        <v>146</v>
      </c>
      <c r="P19" s="85">
        <f>P16-P17+P18</f>
        <v>2609912419584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0" x14ac:dyDescent="0.2">
      <c r="A20" s="1"/>
      <c r="B20" s="63" t="s">
        <v>147</v>
      </c>
      <c r="C20" s="50"/>
      <c r="D20" s="67">
        <f>M19</f>
        <v>2755.0750671501387</v>
      </c>
      <c r="E20" s="1"/>
      <c r="F20" s="1"/>
      <c r="G20" s="1"/>
      <c r="H20" s="1"/>
      <c r="I20" s="1"/>
      <c r="J20" s="1"/>
      <c r="K20" s="45" t="s">
        <v>148</v>
      </c>
      <c r="L20" s="62" t="s">
        <v>6</v>
      </c>
      <c r="M20" s="34" cm="1">
        <f t="array" ref="M20">[1]!_xldudf_WISEPRICE('Statements Model'!C2,L20)</f>
        <v>156.655</v>
      </c>
      <c r="N20" s="1"/>
      <c r="O20" s="97"/>
      <c r="P20" s="29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45"/>
      <c r="L21" s="46"/>
      <c r="M21" s="29"/>
      <c r="N21" s="1"/>
      <c r="O21" s="45" t="s">
        <v>149</v>
      </c>
      <c r="P21" s="98">
        <f>P18</f>
        <v>112436000000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45" t="str">
        <f>IF(M22&gt;0,"Potential Upside ($)","Potential Downside ($)")</f>
        <v>Potential Upside ($)</v>
      </c>
      <c r="L22" s="46"/>
      <c r="M22" s="30">
        <f>M19-M20</f>
        <v>2598.4200671501385</v>
      </c>
      <c r="N22" s="1"/>
      <c r="O22" s="45" t="s">
        <v>150</v>
      </c>
      <c r="P22" s="96">
        <v>0.02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63" t="str">
        <f>IF(M23&gt;0,"Potential Upside (%)","Potential Downside (%)")</f>
        <v>Potential Upside (%)</v>
      </c>
      <c r="L23" s="50"/>
      <c r="M23" s="64">
        <f>M22/M20</f>
        <v>16.586895197409202</v>
      </c>
      <c r="N23" s="1"/>
      <c r="O23" s="45"/>
      <c r="P23" s="29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63" t="s">
        <v>151</v>
      </c>
      <c r="P24" s="99">
        <f>(P19/(P19+P21))*P13+(P21/(P19+P21))*P22*(1-P15)</f>
        <v>0.14126624245780459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</row>
    <row r="25" spans="1:70" x14ac:dyDescent="0.2">
      <c r="A25" s="1"/>
      <c r="B25" s="1"/>
      <c r="C25" s="1"/>
      <c r="D25" s="1"/>
      <c r="E25" s="1"/>
      <c r="F25" s="1"/>
      <c r="G25" s="4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</row>
    <row r="26" spans="1:7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</row>
    <row r="27" spans="1:7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</row>
    <row r="31" spans="1:7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</row>
    <row r="32" spans="1:7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</row>
    <row r="33" spans="1:7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</row>
    <row r="34" spans="1:7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</row>
    <row r="35" spans="1:7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</row>
    <row r="36" spans="1:7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</row>
    <row r="37" spans="1:7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</row>
    <row r="38" spans="1:7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</row>
    <row r="39" spans="1:7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</row>
    <row r="40" spans="1:7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</row>
    <row r="41" spans="1:7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</row>
    <row r="42" spans="1:7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</row>
    <row r="43" spans="1:7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</row>
    <row r="44" spans="1:7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</row>
    <row r="45" spans="1:7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</row>
    <row r="46" spans="1:7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</row>
    <row r="47" spans="1:7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</row>
    <row r="48" spans="1:7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</row>
    <row r="49" spans="1:7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</row>
    <row r="50" spans="1:7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</row>
    <row r="51" spans="1:7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</row>
    <row r="52" spans="1:7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</row>
    <row r="53" spans="1:7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</row>
    <row r="54" spans="1:7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</row>
    <row r="55" spans="1:7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</row>
    <row r="56" spans="1:7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</row>
    <row r="57" spans="1:7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</row>
    <row r="58" spans="1:7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</row>
    <row r="59" spans="1:7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</row>
    <row r="60" spans="1:7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</row>
    <row r="61" spans="1:7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</row>
    <row r="62" spans="1:7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</row>
    <row r="63" spans="1:7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</row>
    <row r="64" spans="1:7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</row>
    <row r="65" spans="1:7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</row>
    <row r="66" spans="1:7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</row>
    <row r="67" spans="1:7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</row>
    <row r="68" spans="1:7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</row>
    <row r="69" spans="1:7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</row>
    <row r="70" spans="1:7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</row>
    <row r="71" spans="1:7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</row>
    <row r="72" spans="1:7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</row>
    <row r="73" spans="1:7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</row>
    <row r="74" spans="1:7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</row>
    <row r="75" spans="1:7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</row>
    <row r="76" spans="1:7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</row>
    <row r="77" spans="1:7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</row>
    <row r="78" spans="1:7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</row>
    <row r="79" spans="1:7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</row>
    <row r="80" spans="1:7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</row>
    <row r="81" spans="1:7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</row>
    <row r="82" spans="1:7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</row>
    <row r="83" spans="1:7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</row>
    <row r="84" spans="1:7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</row>
    <row r="85" spans="1:7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</row>
    <row r="86" spans="1:7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</row>
    <row r="87" spans="1:7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</row>
    <row r="88" spans="1:7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</row>
    <row r="89" spans="1:7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</row>
    <row r="90" spans="1:7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</row>
    <row r="91" spans="1:7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</row>
    <row r="92" spans="1:7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</row>
    <row r="93" spans="1:7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</row>
    <row r="94" spans="1:7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</row>
    <row r="95" spans="1:7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</row>
    <row r="96" spans="1:7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</row>
    <row r="97" spans="1:7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</row>
    <row r="98" spans="1:7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</row>
    <row r="99" spans="1:7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</row>
    <row r="100" spans="1:7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</row>
    <row r="101" spans="1:7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</row>
    <row r="102" spans="1:7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</row>
    <row r="103" spans="1:7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</row>
    <row r="104" spans="1:7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</row>
    <row r="105" spans="1:7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</row>
    <row r="106" spans="1:7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</row>
    <row r="107" spans="1:7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</row>
    <row r="108" spans="1:7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</row>
    <row r="109" spans="1:7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</row>
    <row r="110" spans="1:7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</row>
    <row r="111" spans="1:7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</row>
    <row r="112" spans="1:7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</row>
    <row r="113" spans="1:7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</row>
    <row r="114" spans="1:7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</row>
    <row r="115" spans="1:7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</row>
    <row r="116" spans="1:7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</row>
    <row r="117" spans="1:7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</row>
    <row r="118" spans="1:7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</row>
    <row r="119" spans="1:7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</row>
    <row r="120" spans="1:7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</row>
    <row r="121" spans="1:7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</row>
    <row r="122" spans="1:7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</row>
    <row r="123" spans="1:7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</row>
    <row r="124" spans="1:7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</row>
    <row r="125" spans="1:7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</row>
    <row r="126" spans="1:7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</row>
    <row r="127" spans="1:7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</row>
    <row r="128" spans="1:7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</row>
    <row r="129" spans="1:7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</row>
    <row r="130" spans="1:7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</row>
    <row r="131" spans="1:7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</row>
    <row r="132" spans="1:7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</row>
    <row r="133" spans="1:7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</row>
    <row r="134" spans="1:7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</row>
    <row r="135" spans="1:7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</row>
    <row r="136" spans="1:7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</row>
    <row r="137" spans="1:7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</row>
    <row r="138" spans="1:7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</row>
    <row r="139" spans="1:7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</row>
    <row r="140" spans="1:7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</row>
    <row r="141" spans="1:7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</row>
    <row r="142" spans="1:7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</row>
    <row r="143" spans="1:7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</row>
    <row r="144" spans="1:7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</row>
    <row r="145" spans="1:7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</row>
    <row r="146" spans="1:7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</row>
    <row r="147" spans="1:7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</row>
    <row r="148" spans="1:7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</row>
    <row r="149" spans="1:7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</row>
    <row r="150" spans="1:7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</row>
    <row r="151" spans="1:7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</row>
    <row r="152" spans="1:7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</row>
    <row r="153" spans="1:7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</row>
    <row r="154" spans="1:7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</row>
    <row r="155" spans="1:7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</row>
    <row r="156" spans="1:7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</row>
    <row r="157" spans="1:7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</row>
    <row r="158" spans="1:7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</row>
    <row r="159" spans="1:7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</row>
    <row r="160" spans="1:7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</row>
    <row r="161" spans="1:7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</row>
    <row r="162" spans="1:7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</row>
    <row r="163" spans="1:7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</row>
    <row r="164" spans="1:7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</row>
    <row r="165" spans="1:7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</row>
    <row r="166" spans="1:7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</row>
    <row r="167" spans="1:7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</row>
    <row r="168" spans="1:7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</row>
    <row r="169" spans="1:7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</row>
    <row r="170" spans="1:7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</row>
    <row r="171" spans="1:7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</row>
    <row r="172" spans="1:7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</row>
    <row r="173" spans="1:7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</row>
    <row r="174" spans="1:7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</row>
    <row r="175" spans="1:7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</row>
    <row r="176" spans="1:7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</row>
    <row r="177" spans="1:7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</row>
    <row r="178" spans="1:7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</row>
    <row r="179" spans="1:7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</row>
    <row r="180" spans="1:7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</row>
    <row r="181" spans="1:7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</row>
    <row r="182" spans="1:7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</row>
    <row r="183" spans="1:7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</row>
    <row r="184" spans="1:7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</row>
    <row r="185" spans="1:7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</row>
    <row r="186" spans="1:7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</row>
    <row r="187" spans="1:7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</row>
    <row r="188" spans="1:7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</row>
    <row r="189" spans="1:7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</row>
    <row r="190" spans="1:7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</row>
    <row r="191" spans="1:7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</row>
    <row r="192" spans="1:7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</row>
    <row r="193" spans="1:7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</row>
    <row r="194" spans="1:7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</row>
    <row r="195" spans="1:7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</row>
    <row r="196" spans="1:7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</row>
    <row r="197" spans="1:7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</row>
    <row r="198" spans="1:7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</row>
    <row r="199" spans="1:7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</row>
    <row r="200" spans="1:7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</row>
    <row r="201" spans="1:7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</row>
    <row r="202" spans="1:7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</row>
    <row r="203" spans="1:7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</row>
    <row r="204" spans="1:7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</row>
    <row r="205" spans="1:7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</row>
    <row r="206" spans="1:7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</row>
    <row r="207" spans="1:7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</row>
    <row r="208" spans="1:7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</row>
    <row r="209" spans="1:7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</row>
    <row r="210" spans="1:7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</row>
    <row r="211" spans="1:7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</row>
    <row r="212" spans="1:7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</row>
    <row r="213" spans="1:7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</row>
    <row r="214" spans="1:7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</row>
    <row r="215" spans="1:7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</row>
    <row r="216" spans="1:7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</row>
    <row r="217" spans="1:7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</row>
    <row r="218" spans="1:7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</row>
    <row r="219" spans="1:7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</row>
    <row r="220" spans="1:7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</row>
    <row r="221" spans="1:7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</row>
    <row r="222" spans="1:7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</row>
    <row r="223" spans="1:7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</row>
    <row r="224" spans="1:7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</row>
    <row r="225" spans="1:7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</row>
    <row r="226" spans="1:7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</row>
    <row r="227" spans="1:7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</row>
    <row r="228" spans="1:7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</row>
    <row r="229" spans="1:7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</row>
    <row r="230" spans="1:7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</row>
    <row r="231" spans="1:7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</row>
    <row r="232" spans="1:7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</row>
    <row r="233" spans="1:7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</row>
    <row r="234" spans="1:7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</row>
    <row r="235" spans="1:7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</row>
    <row r="236" spans="1:7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</row>
    <row r="237" spans="1:7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</row>
    <row r="238" spans="1:7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</row>
    <row r="239" spans="1:7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</row>
    <row r="240" spans="1:7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</row>
    <row r="241" spans="1:7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</row>
    <row r="242" spans="1:7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</row>
    <row r="243" spans="1:7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</row>
    <row r="244" spans="1:7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</row>
    <row r="245" spans="1:7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</row>
    <row r="246" spans="1:7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</row>
    <row r="247" spans="1:7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</row>
    <row r="248" spans="1:7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</row>
    <row r="249" spans="1:7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</row>
    <row r="250" spans="1:7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</row>
    <row r="251" spans="1:7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</row>
    <row r="252" spans="1:7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</row>
    <row r="253" spans="1:7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</row>
    <row r="254" spans="1:7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</row>
    <row r="255" spans="1:7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</row>
    <row r="256" spans="1:7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</row>
    <row r="257" spans="1:7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</row>
    <row r="258" spans="1:7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</row>
    <row r="259" spans="1:7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</row>
    <row r="260" spans="1:7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</row>
    <row r="261" spans="1:7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</row>
    <row r="262" spans="1:7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</row>
    <row r="263" spans="1:7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</row>
    <row r="264" spans="1:7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</row>
    <row r="265" spans="1:7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</row>
  </sheetData>
  <mergeCells count="2">
    <mergeCell ref="B2:D2"/>
    <mergeCell ref="E5:I5"/>
  </mergeCells>
  <conditionalFormatting sqref="M22">
    <cfRule type="cellIs" dxfId="3" priority="1" operator="lessThan">
      <formula>0</formula>
    </cfRule>
    <cfRule type="cellIs" dxfId="2" priority="4" operator="greaterThan">
      <formula>0</formula>
    </cfRule>
  </conditionalFormatting>
  <conditionalFormatting sqref="M23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Company Comparison</vt:lpstr>
      <vt:lpstr>Statements Model</vt:lpstr>
      <vt:lpstr>DCF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Berry, Tyler S</dc:creator>
  <cp:keywords/>
  <dc:description/>
  <cp:lastModifiedBy>Microsoft Office User</cp:lastModifiedBy>
  <cp:revision/>
  <dcterms:created xsi:type="dcterms:W3CDTF">2021-08-07T23:59:12Z</dcterms:created>
  <dcterms:modified xsi:type="dcterms:W3CDTF">2022-05-07T14:15:31Z</dcterms:modified>
  <cp:category/>
  <cp:contentStatus/>
</cp:coreProperties>
</file>